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codeName="ThisWorkbook" defaultThemeVersion="124226"/>
  <mc:AlternateContent xmlns:mc="http://schemas.openxmlformats.org/markup-compatibility/2006">
    <mc:Choice Requires="x15">
      <x15ac:absPath xmlns:x15ac="http://schemas.microsoft.com/office/spreadsheetml/2010/11/ac" url="L:\Budget\Budget Amendments\FY26\"/>
    </mc:Choice>
  </mc:AlternateContent>
  <xr:revisionPtr revIDLastSave="0" documentId="8_{ED56B2F1-ADCE-472B-9387-A85EB88E2BF0}" xr6:coauthVersionLast="47" xr6:coauthVersionMax="47" xr10:uidLastSave="{00000000-0000-0000-0000-000000000000}"/>
  <bookViews>
    <workbookView xWindow="23880" yWindow="-120" windowWidth="24240" windowHeight="13020" tabRatio="823" firstSheet="3" activeTab="3" xr2:uid="{00000000-000D-0000-FFFF-FFFF00000000}"/>
  </bookViews>
  <sheets>
    <sheet name="Fund Balance" sheetId="1" state="hidden" r:id="rId1"/>
    <sheet name="Rev &amp; Exp Summary" sheetId="2" state="hidden" r:id="rId2"/>
    <sheet name="Fund Balance (2)" sheetId="9" state="hidden" r:id="rId3"/>
    <sheet name="FY25 - Unrestricted Fund" sheetId="3" r:id="rId4"/>
    <sheet name="FY23 - Auxiliary Fund" sheetId="13" state="hidden" r:id="rId5"/>
    <sheet name="FY22 - R&amp;R" sheetId="4" state="hidden" r:id="rId6"/>
    <sheet name="FY22 - Restricted Fund" sheetId="11" state="hidden" r:id="rId7"/>
    <sheet name="Plant Detail" sheetId="12" state="hidden" r:id="rId8"/>
    <sheet name="FY17 - Auxiliary" sheetId="7" state="hidden" r:id="rId9"/>
  </sheets>
  <externalReferences>
    <externalReference r:id="rId10"/>
  </externalReferences>
  <definedNames>
    <definedName name="nereida">#N/A</definedName>
    <definedName name="_xlnm.Print_Area" localSheetId="2">'Fund Balance (2)'!$A$1:$E$20</definedName>
    <definedName name="_xlnm.Print_Area" localSheetId="8">'FY17 - Auxiliary'!$A$1:$AB$46</definedName>
    <definedName name="_xlnm.Print_Area" localSheetId="5">'FY22 - R&amp;R'!$A$1:$AE$26</definedName>
    <definedName name="_xlnm.Print_Area" localSheetId="6">'FY22 - Restricted Fund'!$A$1:$AE$32</definedName>
    <definedName name="_xlnm.Print_Area" localSheetId="4">'FY23 - Auxiliary Fund'!$A$1:$D$50</definedName>
    <definedName name="_xlnm.Print_Area" localSheetId="3">'FY25 - Unrestricted Fund'!$A$1:$D$52</definedName>
    <definedName name="_xlnm.Print_Area" localSheetId="7">'Plant Detail'!$A$1:$B$11</definedName>
    <definedName name="_xlnm.Print_Area" localSheetId="1">'Rev &amp; Exp Summary'!$A$1:$C$42</definedName>
    <definedName name="_xlnm.Print_Area">#REF!</definedName>
    <definedName name="_xlnm.Print_Titles">#N/A</definedName>
    <definedName name="Tuition">'[1]Proj Rev &amp; Expend'!$A$1:$Q$136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36" i="3" l="1"/>
  <c r="C40" i="3"/>
  <c r="D39" i="3"/>
  <c r="B40" i="3"/>
  <c r="D44" i="13"/>
  <c r="D43" i="13"/>
  <c r="C45" i="13"/>
  <c r="B45" i="13"/>
  <c r="D30" i="13"/>
  <c r="D29" i="13"/>
  <c r="D28" i="13"/>
  <c r="D27" i="13"/>
  <c r="D26" i="13"/>
  <c r="D25" i="13"/>
  <c r="D24" i="13"/>
  <c r="D23" i="13"/>
  <c r="D22" i="13"/>
  <c r="D21" i="13"/>
  <c r="D42" i="13"/>
  <c r="D41" i="13"/>
  <c r="D40" i="13"/>
  <c r="D39" i="13"/>
  <c r="C31" i="13"/>
  <c r="B31" i="13"/>
  <c r="D20" i="13"/>
  <c r="D19" i="13"/>
  <c r="C18" i="13"/>
  <c r="B18" i="13"/>
  <c r="D17" i="13"/>
  <c r="D16" i="13"/>
  <c r="D15" i="13"/>
  <c r="D14" i="13"/>
  <c r="D13" i="13"/>
  <c r="D12" i="13"/>
  <c r="D45" i="13" l="1"/>
  <c r="D18" i="13"/>
  <c r="D31" i="13"/>
  <c r="B52" i="13"/>
  <c r="C52" i="13"/>
  <c r="D12" i="3"/>
  <c r="D13" i="3"/>
  <c r="D14" i="3"/>
  <c r="D15" i="3"/>
  <c r="D16" i="3"/>
  <c r="D17" i="3"/>
  <c r="B18" i="3"/>
  <c r="C18" i="3"/>
  <c r="D19" i="3"/>
  <c r="D20" i="3"/>
  <c r="D21" i="3"/>
  <c r="D22" i="3"/>
  <c r="D23" i="3"/>
  <c r="D24" i="3"/>
  <c r="B25" i="3"/>
  <c r="C25" i="3"/>
  <c r="D33" i="3"/>
  <c r="D34" i="3"/>
  <c r="D35" i="3"/>
  <c r="D37" i="3"/>
  <c r="D38" i="3"/>
  <c r="B47" i="3"/>
  <c r="C47" i="3"/>
  <c r="D42" i="3"/>
  <c r="D43" i="3"/>
  <c r="D44" i="3"/>
  <c r="D45" i="3"/>
  <c r="B46" i="3"/>
  <c r="C46" i="3"/>
  <c r="D40" i="3" l="1"/>
  <c r="D47" i="3" s="1"/>
  <c r="D52" i="13"/>
  <c r="C54" i="3"/>
  <c r="B54" i="3"/>
  <c r="D46" i="3"/>
  <c r="D25" i="3"/>
  <c r="D18" i="3"/>
  <c r="B9" i="12"/>
  <c r="D54" i="3" l="1"/>
  <c r="AC13" i="4"/>
  <c r="AC27" i="11" l="1"/>
  <c r="AE26" i="11" l="1"/>
  <c r="AA27" i="11"/>
  <c r="AC13" i="11"/>
  <c r="AC34" i="11" s="1"/>
  <c r="AA13" i="11"/>
  <c r="J77" i="11"/>
  <c r="H75" i="11"/>
  <c r="F75" i="11"/>
  <c r="D75" i="11"/>
  <c r="C75" i="11"/>
  <c r="B75" i="11"/>
  <c r="M73" i="11"/>
  <c r="M77" i="11" s="1"/>
  <c r="I75" i="11" s="1"/>
  <c r="F73" i="11"/>
  <c r="C73" i="11"/>
  <c r="B73" i="11"/>
  <c r="B72" i="11"/>
  <c r="F71" i="11"/>
  <c r="E71" i="11"/>
  <c r="D71" i="11"/>
  <c r="C71" i="11"/>
  <c r="B71" i="11"/>
  <c r="F69" i="11"/>
  <c r="C69" i="11"/>
  <c r="B69" i="11"/>
  <c r="Y62" i="11"/>
  <c r="U50" i="11"/>
  <c r="U40" i="11" s="1"/>
  <c r="U42" i="11" s="1"/>
  <c r="U44" i="11" s="1"/>
  <c r="S50" i="11"/>
  <c r="W49" i="11"/>
  <c r="Y48" i="11"/>
  <c r="Y56" i="11" s="1"/>
  <c r="Y59" i="11" s="1"/>
  <c r="W46" i="11"/>
  <c r="Y42" i="11"/>
  <c r="Y44" i="11" s="1"/>
  <c r="W42" i="11"/>
  <c r="W44" i="11" s="1"/>
  <c r="Q42" i="11"/>
  <c r="Q44" i="11" s="1"/>
  <c r="O42" i="11"/>
  <c r="O44" i="11" s="1"/>
  <c r="M42" i="11"/>
  <c r="M44" i="11" s="1"/>
  <c r="S40" i="11"/>
  <c r="S42" i="11" s="1"/>
  <c r="S44" i="11" s="1"/>
  <c r="AE25" i="11"/>
  <c r="AE24" i="11"/>
  <c r="AE23" i="11"/>
  <c r="AE22" i="11"/>
  <c r="Y22" i="11"/>
  <c r="AE21" i="11"/>
  <c r="Y21" i="11"/>
  <c r="W21" i="11"/>
  <c r="U21" i="11"/>
  <c r="S21" i="11"/>
  <c r="Q21" i="11"/>
  <c r="O21" i="11"/>
  <c r="M21" i="11"/>
  <c r="I21" i="11"/>
  <c r="X13" i="11"/>
  <c r="J13" i="11"/>
  <c r="H13" i="11"/>
  <c r="B13" i="11"/>
  <c r="G13" i="11"/>
  <c r="D13" i="11"/>
  <c r="AE12" i="11"/>
  <c r="AE13" i="11" s="1"/>
  <c r="Y12" i="11"/>
  <c r="Y13" i="11" s="1"/>
  <c r="W12" i="11"/>
  <c r="W13" i="11" s="1"/>
  <c r="V12" i="11"/>
  <c r="V13" i="11" s="1"/>
  <c r="U12" i="11"/>
  <c r="U13" i="11" s="1"/>
  <c r="T12" i="11"/>
  <c r="T13" i="11" s="1"/>
  <c r="S12" i="11"/>
  <c r="S13" i="11" s="1"/>
  <c r="R12" i="11"/>
  <c r="R13" i="11" s="1"/>
  <c r="Q12" i="11"/>
  <c r="Q13" i="11" s="1"/>
  <c r="P12" i="11"/>
  <c r="P13" i="11" s="1"/>
  <c r="O12" i="11"/>
  <c r="O13" i="11" s="1"/>
  <c r="N12" i="11"/>
  <c r="N13" i="11" s="1"/>
  <c r="M12" i="11"/>
  <c r="M13" i="11" s="1"/>
  <c r="L12" i="11"/>
  <c r="L13" i="11" s="1"/>
  <c r="K12" i="11"/>
  <c r="K13" i="11" s="1"/>
  <c r="I12" i="11"/>
  <c r="I13" i="11" s="1"/>
  <c r="F12" i="11"/>
  <c r="F13" i="11" s="1"/>
  <c r="E12" i="11"/>
  <c r="E13" i="11" s="1"/>
  <c r="C12" i="11"/>
  <c r="C13" i="11" s="1"/>
  <c r="W50" i="11" l="1"/>
  <c r="AA34" i="11"/>
  <c r="AE27" i="11"/>
  <c r="AE34" i="11" s="1"/>
  <c r="G73" i="11"/>
  <c r="J73" i="11" s="1"/>
  <c r="G75" i="11"/>
  <c r="J75" i="11" s="1"/>
  <c r="G71" i="11"/>
  <c r="J71" i="11" s="1"/>
  <c r="G69" i="11"/>
  <c r="J69" i="11" s="1"/>
  <c r="Y60" i="11"/>
  <c r="Y61" i="11" s="1"/>
  <c r="Y63" i="11" s="1"/>
  <c r="E12" i="9" l="1"/>
  <c r="E11" i="9"/>
  <c r="E10" i="9"/>
  <c r="C13" i="9"/>
  <c r="D13" i="9"/>
  <c r="E13" i="9" l="1"/>
  <c r="Z41" i="7" l="1"/>
  <c r="AB24" i="7"/>
  <c r="AB16" i="7" l="1"/>
  <c r="AB38" i="7" l="1"/>
  <c r="AB14" i="7"/>
  <c r="AB15" i="7"/>
  <c r="AB17" i="7"/>
  <c r="AB18" i="7"/>
  <c r="AB19" i="7"/>
  <c r="AB20" i="7"/>
  <c r="AB21" i="7"/>
  <c r="AB22" i="7"/>
  <c r="AB23" i="7"/>
  <c r="AA41" i="7" l="1"/>
  <c r="J91" i="7" l="1"/>
  <c r="H89" i="7"/>
  <c r="F89" i="7"/>
  <c r="D89" i="7"/>
  <c r="C89" i="7"/>
  <c r="B89" i="7"/>
  <c r="M87" i="7"/>
  <c r="M91" i="7" s="1"/>
  <c r="I89" i="7" s="1"/>
  <c r="F87" i="7"/>
  <c r="C87" i="7"/>
  <c r="B87" i="7"/>
  <c r="B86" i="7"/>
  <c r="F85" i="7"/>
  <c r="E85" i="7"/>
  <c r="D85" i="7"/>
  <c r="C85" i="7"/>
  <c r="B85" i="7"/>
  <c r="F83" i="7"/>
  <c r="C83" i="7"/>
  <c r="B83" i="7"/>
  <c r="U64" i="7"/>
  <c r="U54" i="7" s="1"/>
  <c r="U56" i="7" s="1"/>
  <c r="S64" i="7"/>
  <c r="W63" i="7"/>
  <c r="Y62" i="7"/>
  <c r="Y70" i="7" s="1"/>
  <c r="Y73" i="7" s="1"/>
  <c r="W60" i="7"/>
  <c r="Y56" i="7"/>
  <c r="Y74" i="7" s="1"/>
  <c r="W56" i="7"/>
  <c r="Q56" i="7"/>
  <c r="O56" i="7"/>
  <c r="M56" i="7"/>
  <c r="S54" i="7"/>
  <c r="S56" i="7" s="1"/>
  <c r="B41" i="7"/>
  <c r="AB39" i="7"/>
  <c r="D39" i="7"/>
  <c r="D41" i="7" s="1"/>
  <c r="AB37" i="7"/>
  <c r="Y37" i="7"/>
  <c r="AB36" i="7"/>
  <c r="W36" i="7"/>
  <c r="W34" i="7" s="1"/>
  <c r="U36" i="7"/>
  <c r="AB35" i="7"/>
  <c r="Y35" i="7"/>
  <c r="AB34" i="7"/>
  <c r="Y34" i="7"/>
  <c r="U34" i="7"/>
  <c r="S34" i="7"/>
  <c r="Q34" i="7"/>
  <c r="O34" i="7"/>
  <c r="M34" i="7"/>
  <c r="I34" i="7"/>
  <c r="AA26" i="7"/>
  <c r="Z26" i="7"/>
  <c r="X26" i="7"/>
  <c r="X39" i="7" s="1"/>
  <c r="X41" i="7" s="1"/>
  <c r="J26" i="7"/>
  <c r="J39" i="7" s="1"/>
  <c r="J41" i="7" s="1"/>
  <c r="H26" i="7"/>
  <c r="H39" i="7" s="1"/>
  <c r="H41" i="7" s="1"/>
  <c r="B26" i="7"/>
  <c r="Y17" i="7"/>
  <c r="AB13" i="7"/>
  <c r="Y13" i="7"/>
  <c r="W13" i="7"/>
  <c r="U13" i="7"/>
  <c r="S13" i="7"/>
  <c r="R13" i="7"/>
  <c r="Q13" i="7"/>
  <c r="P13" i="7"/>
  <c r="O13" i="7"/>
  <c r="N13" i="7"/>
  <c r="M13" i="7"/>
  <c r="K13" i="7"/>
  <c r="I13" i="7"/>
  <c r="G13" i="7"/>
  <c r="G26" i="7" s="1"/>
  <c r="G39" i="7" s="1"/>
  <c r="E13" i="7"/>
  <c r="D13" i="7"/>
  <c r="D26" i="7" s="1"/>
  <c r="AB12" i="7"/>
  <c r="C12" i="7"/>
  <c r="C26" i="7" s="1"/>
  <c r="C39" i="7" s="1"/>
  <c r="G87" i="7" l="1"/>
  <c r="J87" i="7" s="1"/>
  <c r="G89" i="7"/>
  <c r="J89" i="7" s="1"/>
  <c r="G83" i="7"/>
  <c r="J83" i="7" s="1"/>
  <c r="G85" i="7"/>
  <c r="J85" i="7" s="1"/>
  <c r="W64" i="7"/>
  <c r="AB41" i="7"/>
  <c r="AB26" i="7"/>
  <c r="E12" i="7"/>
  <c r="E26" i="7" s="1"/>
  <c r="E39" i="7" s="1"/>
  <c r="C41" i="7"/>
  <c r="I12" i="7"/>
  <c r="I26" i="7" s="1"/>
  <c r="I39" i="7" s="1"/>
  <c r="G41" i="7"/>
  <c r="Y75" i="7"/>
  <c r="I41" i="7" l="1"/>
  <c r="K12" i="7"/>
  <c r="K26" i="7" s="1"/>
  <c r="K39" i="7" s="1"/>
  <c r="E41" i="7"/>
  <c r="F12" i="7"/>
  <c r="F26" i="7" s="1"/>
  <c r="F39" i="7" s="1"/>
  <c r="F41" i="7" s="1"/>
  <c r="L12" i="7" l="1"/>
  <c r="L26" i="7" s="1"/>
  <c r="L39" i="7" s="1"/>
  <c r="L41" i="7" s="1"/>
  <c r="K41" i="7"/>
  <c r="M12" i="7"/>
  <c r="M26" i="7" s="1"/>
  <c r="M39" i="7" s="1"/>
  <c r="M41" i="7" l="1"/>
  <c r="O12" i="7"/>
  <c r="O26" i="7" s="1"/>
  <c r="O39" i="7" s="1"/>
  <c r="N12" i="7"/>
  <c r="N26" i="7" s="1"/>
  <c r="N39" i="7" s="1"/>
  <c r="N41" i="7" s="1"/>
  <c r="M58" i="7"/>
  <c r="P12" i="7" l="1"/>
  <c r="P26" i="7" s="1"/>
  <c r="P39" i="7" s="1"/>
  <c r="P41" i="7" s="1"/>
  <c r="O58" i="7"/>
  <c r="Q12" i="7"/>
  <c r="Q26" i="7" s="1"/>
  <c r="Q39" i="7" s="1"/>
  <c r="O41" i="7"/>
  <c r="Q41" i="7" l="1"/>
  <c r="S12" i="7"/>
  <c r="S26" i="7" s="1"/>
  <c r="S39" i="7" s="1"/>
  <c r="R12" i="7"/>
  <c r="R26" i="7" s="1"/>
  <c r="R39" i="7" s="1"/>
  <c r="R41" i="7" s="1"/>
  <c r="Q58" i="7"/>
  <c r="T12" i="7" l="1"/>
  <c r="T26" i="7" s="1"/>
  <c r="T39" i="7" s="1"/>
  <c r="T41" i="7" s="1"/>
  <c r="S41" i="7"/>
  <c r="U12" i="7"/>
  <c r="U26" i="7" s="1"/>
  <c r="U39" i="7" s="1"/>
  <c r="S58" i="7"/>
  <c r="W12" i="7" l="1"/>
  <c r="W26" i="7" s="1"/>
  <c r="W39" i="7" s="1"/>
  <c r="V12" i="7"/>
  <c r="V26" i="7" s="1"/>
  <c r="V39" i="7" s="1"/>
  <c r="V41" i="7" s="1"/>
  <c r="U41" i="7"/>
  <c r="U58" i="7"/>
  <c r="W58" i="7" l="1"/>
  <c r="Y12" i="7"/>
  <c r="Y26" i="7" s="1"/>
  <c r="Y39" i="7" s="1"/>
  <c r="W41" i="7"/>
  <c r="Y58" i="7" l="1"/>
  <c r="Y76" i="7"/>
  <c r="Y77" i="7" s="1"/>
  <c r="Y41" i="7"/>
  <c r="C21" i="2" l="1"/>
  <c r="C41" i="2"/>
  <c r="F22" i="2" l="1"/>
  <c r="AE28" i="4"/>
  <c r="AC15" i="4" l="1"/>
  <c r="AC26" i="4"/>
  <c r="AC31" i="4" l="1"/>
  <c r="G14" i="1"/>
  <c r="G16" i="1" s="1"/>
  <c r="J75" i="4"/>
  <c r="H73" i="4"/>
  <c r="F73" i="4"/>
  <c r="D73" i="4"/>
  <c r="C73" i="4"/>
  <c r="B73" i="4"/>
  <c r="M71" i="4"/>
  <c r="M75" i="4" s="1"/>
  <c r="I73" i="4" s="1"/>
  <c r="F71" i="4"/>
  <c r="C71" i="4"/>
  <c r="B71" i="4"/>
  <c r="B70" i="4"/>
  <c r="F69" i="4"/>
  <c r="E69" i="4"/>
  <c r="D69" i="4"/>
  <c r="C69" i="4"/>
  <c r="B69" i="4"/>
  <c r="F67" i="4"/>
  <c r="C67" i="4"/>
  <c r="B67" i="4"/>
  <c r="AI49" i="4"/>
  <c r="AI52" i="4" s="1"/>
  <c r="AH48" i="4"/>
  <c r="U48" i="4"/>
  <c r="U38" i="4" s="1"/>
  <c r="U40" i="4" s="1"/>
  <c r="S48" i="4"/>
  <c r="AH47" i="4"/>
  <c r="W47" i="4"/>
  <c r="AH46" i="4"/>
  <c r="Y46" i="4"/>
  <c r="Y54" i="4" s="1"/>
  <c r="Y57" i="4" s="1"/>
  <c r="AH45" i="4"/>
  <c r="AH44" i="4"/>
  <c r="W44" i="4"/>
  <c r="Y40" i="4"/>
  <c r="Y58" i="4" s="1"/>
  <c r="W40" i="4"/>
  <c r="Q40" i="4"/>
  <c r="O40" i="4"/>
  <c r="M40" i="4"/>
  <c r="S38" i="4"/>
  <c r="S40" i="4" s="1"/>
  <c r="B26" i="4"/>
  <c r="D26" i="4"/>
  <c r="W23" i="4"/>
  <c r="AE24" i="4"/>
  <c r="Y24" i="4"/>
  <c r="AA26" i="4"/>
  <c r="Y23" i="4"/>
  <c r="U23" i="4"/>
  <c r="S23" i="4"/>
  <c r="Q23" i="4"/>
  <c r="O23" i="4"/>
  <c r="M23" i="4"/>
  <c r="I23" i="4"/>
  <c r="AA15" i="4"/>
  <c r="X15" i="4"/>
  <c r="X26" i="4" s="1"/>
  <c r="J15" i="4"/>
  <c r="J26" i="4" s="1"/>
  <c r="H15" i="4"/>
  <c r="H26" i="4" s="1"/>
  <c r="B15" i="4"/>
  <c r="AE13" i="4"/>
  <c r="Y13" i="4"/>
  <c r="W13" i="4"/>
  <c r="U13" i="4"/>
  <c r="S13" i="4"/>
  <c r="R13" i="4"/>
  <c r="Q13" i="4"/>
  <c r="P13" i="4"/>
  <c r="O13" i="4"/>
  <c r="N13" i="4"/>
  <c r="M13" i="4"/>
  <c r="K13" i="4"/>
  <c r="I13" i="4"/>
  <c r="G13" i="4"/>
  <c r="G15" i="4" s="1"/>
  <c r="E13" i="4"/>
  <c r="D13" i="4"/>
  <c r="D15" i="4" s="1"/>
  <c r="AE12" i="4"/>
  <c r="C12" i="4"/>
  <c r="C15" i="4" s="1"/>
  <c r="AA31" i="4" l="1"/>
  <c r="G73" i="4"/>
  <c r="J73" i="4" s="1"/>
  <c r="G67" i="4"/>
  <c r="J67" i="4" s="1"/>
  <c r="G69" i="4"/>
  <c r="J69" i="4" s="1"/>
  <c r="G71" i="4"/>
  <c r="J71" i="4" s="1"/>
  <c r="W48" i="4"/>
  <c r="AH49" i="4"/>
  <c r="AE23" i="4"/>
  <c r="AE15" i="4"/>
  <c r="C26" i="4"/>
  <c r="E12" i="4"/>
  <c r="E15" i="4" s="1"/>
  <c r="G26" i="4"/>
  <c r="I12" i="4"/>
  <c r="I15" i="4" s="1"/>
  <c r="Y59" i="4"/>
  <c r="AE26" i="4" l="1"/>
  <c r="I26" i="4"/>
  <c r="K12" i="4"/>
  <c r="K15" i="4" s="1"/>
  <c r="E26" i="4"/>
  <c r="F12" i="4"/>
  <c r="F15" i="4" s="1"/>
  <c r="F26" i="4" s="1"/>
  <c r="AE31" i="4" l="1"/>
  <c r="AG17" i="4"/>
  <c r="K26" i="4"/>
  <c r="M12" i="4"/>
  <c r="M15" i="4" s="1"/>
  <c r="L12" i="4"/>
  <c r="L15" i="4" s="1"/>
  <c r="L26" i="4" s="1"/>
  <c r="M26" i="4" l="1"/>
  <c r="O12" i="4"/>
  <c r="O15" i="4" s="1"/>
  <c r="N12" i="4"/>
  <c r="N15" i="4" s="1"/>
  <c r="N26" i="4" s="1"/>
  <c r="M42" i="4"/>
  <c r="Q12" i="4" l="1"/>
  <c r="Q15" i="4" s="1"/>
  <c r="O42" i="4"/>
  <c r="P12" i="4"/>
  <c r="P15" i="4" s="1"/>
  <c r="P26" i="4" s="1"/>
  <c r="O26" i="4"/>
  <c r="Q26" i="4" l="1"/>
  <c r="S12" i="4"/>
  <c r="S15" i="4" s="1"/>
  <c r="R12" i="4"/>
  <c r="R15" i="4" s="1"/>
  <c r="R26" i="4" s="1"/>
  <c r="Q42" i="4"/>
  <c r="U12" i="4" l="1"/>
  <c r="U15" i="4" s="1"/>
  <c r="T12" i="4"/>
  <c r="T15" i="4" s="1"/>
  <c r="T26" i="4" s="1"/>
  <c r="S26" i="4"/>
  <c r="S42" i="4"/>
  <c r="W12" i="4" l="1"/>
  <c r="W15" i="4" s="1"/>
  <c r="V12" i="4"/>
  <c r="V15" i="4" s="1"/>
  <c r="V26" i="4" s="1"/>
  <c r="U42" i="4"/>
  <c r="U26" i="4"/>
  <c r="W42" i="4" l="1"/>
  <c r="Y12" i="4"/>
  <c r="Y15" i="4" s="1"/>
  <c r="W26" i="4"/>
  <c r="Y42" i="4" l="1"/>
  <c r="Y60" i="4"/>
  <c r="Y61" i="4" s="1"/>
  <c r="Y26"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achurch</author>
    <author>maciasm</author>
    <author>STUDENT</author>
  </authors>
  <commentList>
    <comment ref="W13" authorId="0" shapeId="0" xr:uid="{00000000-0006-0000-0500-000002000000}">
      <text>
        <r>
          <rPr>
            <b/>
            <sz val="8"/>
            <color indexed="81"/>
            <rFont val="Tahoma"/>
            <family val="2"/>
          </rPr>
          <t xml:space="preserve">include the 3072.99 for bond 04
</t>
        </r>
      </text>
    </comment>
    <comment ref="U23" authorId="1" shapeId="0" xr:uid="{00000000-0006-0000-0500-000003000000}">
      <text>
        <r>
          <rPr>
            <b/>
            <sz val="8"/>
            <color indexed="81"/>
            <rFont val="Tahoma"/>
            <family val="2"/>
          </rPr>
          <t xml:space="preserve">per cash flow 8/31/05
</t>
        </r>
        <r>
          <rPr>
            <sz val="8"/>
            <color indexed="81"/>
            <rFont val="Tahoma"/>
            <family val="2"/>
          </rPr>
          <t xml:space="preserve">
</t>
        </r>
      </text>
    </comment>
    <comment ref="W23" authorId="2" shapeId="0" xr:uid="{00000000-0006-0000-0500-000004000000}">
      <text>
        <r>
          <rPr>
            <sz val="8"/>
            <color indexed="81"/>
            <rFont val="Tahoma"/>
            <family val="2"/>
          </rPr>
          <t xml:space="preserve">15,429036.33 projected expenditures for FY05 and Fy06 less the transfer from non bond to bond of 92,807 plus 1068570.00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maciasm</author>
    <author>STUDENT</author>
  </authors>
  <commentList>
    <comment ref="U21" authorId="0" shapeId="0" xr:uid="{00000000-0006-0000-0600-000001000000}">
      <text>
        <r>
          <rPr>
            <b/>
            <sz val="8"/>
            <color indexed="81"/>
            <rFont val="Tahoma"/>
            <family val="2"/>
          </rPr>
          <t xml:space="preserve">per cash flow 8/31/05
</t>
        </r>
        <r>
          <rPr>
            <sz val="8"/>
            <color indexed="81"/>
            <rFont val="Tahoma"/>
            <family val="2"/>
          </rPr>
          <t xml:space="preserve">
</t>
        </r>
      </text>
    </comment>
    <comment ref="W21" authorId="1" shapeId="0" xr:uid="{00000000-0006-0000-0600-000002000000}">
      <text>
        <r>
          <rPr>
            <sz val="8"/>
            <color indexed="81"/>
            <rFont val="Tahoma"/>
            <family val="2"/>
          </rPr>
          <t xml:space="preserve">15,429036.33 projected expenditures for FY05 and Fy06 less the transfer from non bond to bond of 92,807 plus 1068570.00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achurch</author>
    <author>STUDENT</author>
    <author>maciasm</author>
  </authors>
  <commentList>
    <comment ref="W13" authorId="0" shapeId="0" xr:uid="{00000000-0006-0000-0800-000001000000}">
      <text>
        <r>
          <rPr>
            <b/>
            <sz val="8"/>
            <color indexed="81"/>
            <rFont val="Tahoma"/>
            <family val="2"/>
          </rPr>
          <t xml:space="preserve">include the 3072.99 for bond 04
</t>
        </r>
      </text>
    </comment>
    <comment ref="W17" authorId="1" shapeId="0" xr:uid="{00000000-0006-0000-0800-000002000000}">
      <text>
        <r>
          <rPr>
            <sz val="8"/>
            <color indexed="81"/>
            <rFont val="Tahoma"/>
            <family val="2"/>
          </rPr>
          <t xml:space="preserve">10,000 received FY04
10,000 received FY06
Funds received from Starr County out of the 100,000 EDA matching of which 10.000 to be received per year
need to transfer the 20,000 to bank 17 from bank 18 and 22
</t>
        </r>
      </text>
    </comment>
    <comment ref="Y17" authorId="1" shapeId="0" xr:uid="{00000000-0006-0000-0800-000003000000}">
      <text>
        <r>
          <rPr>
            <sz val="8"/>
            <color indexed="81"/>
            <rFont val="Tahoma"/>
            <family val="2"/>
          </rPr>
          <t xml:space="preserve">10,000 received FY04
10,000 received FY06
Funds received from Starr County out of the 100,000 EDA matching of which 10.000 to be received per year
need to transfer the 20,000 to bank 17 from bank 18 and 22
</t>
        </r>
      </text>
    </comment>
    <comment ref="U34" authorId="2" shapeId="0" xr:uid="{00000000-0006-0000-0800-000004000000}">
      <text>
        <r>
          <rPr>
            <b/>
            <sz val="8"/>
            <color indexed="81"/>
            <rFont val="Tahoma"/>
            <family val="2"/>
          </rPr>
          <t xml:space="preserve">per cash flow 8/31/05
</t>
        </r>
        <r>
          <rPr>
            <sz val="8"/>
            <color indexed="81"/>
            <rFont val="Tahoma"/>
            <family val="2"/>
          </rPr>
          <t xml:space="preserve">
</t>
        </r>
      </text>
    </comment>
    <comment ref="W34" authorId="1" shapeId="0" xr:uid="{00000000-0006-0000-0800-000005000000}">
      <text>
        <r>
          <rPr>
            <sz val="8"/>
            <color indexed="81"/>
            <rFont val="Tahoma"/>
            <family val="2"/>
          </rPr>
          <t xml:space="preserve">15,429036.33 projected expenditures for FY05 and Fy06 less the transfer from non bond to bond of 92,807 plus 1068570.00
</t>
        </r>
      </text>
    </comment>
    <comment ref="U36" authorId="1" shapeId="0" xr:uid="{00000000-0006-0000-0800-000006000000}">
      <text>
        <r>
          <rPr>
            <sz val="8"/>
            <color indexed="81"/>
            <rFont val="Tahoma"/>
            <family val="2"/>
          </rPr>
          <t>48,0000
15047.50
29759.00
Budget FY05 fund transferred FY06 
Funds were approved by Board</t>
        </r>
      </text>
    </comment>
  </commentList>
</comments>
</file>

<file path=xl/sharedStrings.xml><?xml version="1.0" encoding="utf-8"?>
<sst xmlns="http://schemas.openxmlformats.org/spreadsheetml/2006/main" count="731" uniqueCount="226">
  <si>
    <t>South Texas College</t>
  </si>
  <si>
    <t>Budget Amendment</t>
  </si>
  <si>
    <t>Note:  The Adjusted Unrestricted Fund Balance in the amount of $35,854,291 is sufficient to fund 3.6 months of operating expenditures.</t>
  </si>
  <si>
    <t>Revenues</t>
  </si>
  <si>
    <t>Additional Tuition and Fee Revenue Due to Growth</t>
  </si>
  <si>
    <t>Instruction -  Salaries and Benefits for Faculty</t>
  </si>
  <si>
    <t>Unrestricted Fund</t>
  </si>
  <si>
    <t>AMENDED</t>
  </si>
  <si>
    <t>Revenue Summary</t>
  </si>
  <si>
    <t>Budget</t>
  </si>
  <si>
    <t>FY '04</t>
  </si>
  <si>
    <t>FY '05</t>
  </si>
  <si>
    <t>FY '06</t>
  </si>
  <si>
    <t>FY '07</t>
  </si>
  <si>
    <t xml:space="preserve">Original </t>
  </si>
  <si>
    <t>Increase /</t>
  </si>
  <si>
    <t xml:space="preserve">Amended </t>
  </si>
  <si>
    <t>Revenue Source</t>
  </si>
  <si>
    <t>Actual</t>
  </si>
  <si>
    <t>(As Amended)</t>
  </si>
  <si>
    <t>Actual*</t>
  </si>
  <si>
    <t>(Decrease)</t>
  </si>
  <si>
    <t xml:space="preserve"> </t>
  </si>
  <si>
    <t>Total Revenues</t>
  </si>
  <si>
    <t>Expenditures/Reserve</t>
  </si>
  <si>
    <t>Operating</t>
  </si>
  <si>
    <t>Travel</t>
  </si>
  <si>
    <t>Capital</t>
  </si>
  <si>
    <t>Total Expenditures/Reserve</t>
  </si>
  <si>
    <t>*  Includes projections for the remainder of the fiscal year.</t>
  </si>
  <si>
    <t>properties for institutional purposes but unexpended at the date of reporting.</t>
  </si>
  <si>
    <t>FFE</t>
  </si>
  <si>
    <t>Technology</t>
  </si>
  <si>
    <t>CD</t>
  </si>
  <si>
    <t>Bank 17</t>
  </si>
  <si>
    <t>Bank 14</t>
  </si>
  <si>
    <t>TRNSF</t>
  </si>
  <si>
    <t>Design</t>
  </si>
  <si>
    <t>deposited bk 17-budgeted bk18</t>
  </si>
  <si>
    <t>PRIOR YR</t>
  </si>
  <si>
    <t>CURRENT YR</t>
  </si>
  <si>
    <t>COOPER</t>
  </si>
  <si>
    <t>Miscellaneous</t>
  </si>
  <si>
    <t>Trnsf amend</t>
  </si>
  <si>
    <t>Intrastruture</t>
  </si>
  <si>
    <t xml:space="preserve">DEP BK 17 </t>
  </si>
  <si>
    <t>projected RGC</t>
  </si>
  <si>
    <t>projected expenditures</t>
  </si>
  <si>
    <t>Total</t>
  </si>
  <si>
    <t>Balance</t>
  </si>
  <si>
    <t>Source</t>
  </si>
  <si>
    <t>Beginning                   Fund Balance</t>
  </si>
  <si>
    <t>Interest</t>
  </si>
  <si>
    <t>Transfers In</t>
  </si>
  <si>
    <t>Transfers Out</t>
  </si>
  <si>
    <t>Total                   Expenditures as of April 30, 2003</t>
  </si>
  <si>
    <t>Balance as of April 30, 2003</t>
  </si>
  <si>
    <t>Projected Revenue/Expenditures August 31, 2003</t>
  </si>
  <si>
    <t>Projected  Transfers/Interest                 August 31, 2003</t>
  </si>
  <si>
    <t>Projected Balance  August 31, 2003</t>
  </si>
  <si>
    <t>Bond Series 1999  - PPFCO</t>
  </si>
  <si>
    <t xml:space="preserve">   </t>
  </si>
  <si>
    <t xml:space="preserve">CD </t>
  </si>
  <si>
    <t>Mid Valley Construction</t>
  </si>
  <si>
    <t>Transf to bk 17</t>
  </si>
  <si>
    <t>Accrued Interest</t>
  </si>
  <si>
    <t>Bond Series 1996</t>
  </si>
  <si>
    <t>Current balance</t>
  </si>
  <si>
    <t>interest rate</t>
  </si>
  <si>
    <t>New Construction and Other Sources</t>
  </si>
  <si>
    <t>number of days</t>
  </si>
  <si>
    <t>May 5 to Aug 31</t>
  </si>
  <si>
    <t>Less:  E&amp;G  MM Expenditure</t>
  </si>
  <si>
    <t>Fund Balance Deduction</t>
  </si>
  <si>
    <t>Unrestricted Fund Balance Allocations</t>
  </si>
  <si>
    <t>Allocation of Unrestricted Fund Balance</t>
  </si>
  <si>
    <t xml:space="preserve">AMENDED </t>
  </si>
  <si>
    <t>check figures</t>
  </si>
  <si>
    <t xml:space="preserve">     Less Proposed Budget Amendment / Fund Balance Allocation </t>
  </si>
  <si>
    <t xml:space="preserve">    </t>
  </si>
  <si>
    <t xml:space="preserve">Amendment </t>
  </si>
  <si>
    <t>Check figure</t>
  </si>
  <si>
    <t>Renewals and Replacements Plant Fund</t>
  </si>
  <si>
    <t>Renewals and Replacements Expenditures</t>
  </si>
  <si>
    <t>Fund Balance Addition</t>
  </si>
  <si>
    <t>Check Figure</t>
  </si>
  <si>
    <t>Ending Fund Cash and Investment Balance</t>
  </si>
  <si>
    <t xml:space="preserve">Expenditures Summary </t>
  </si>
  <si>
    <t>State Appropriation Reallocation</t>
  </si>
  <si>
    <t>Benefits</t>
  </si>
  <si>
    <t>Salaries</t>
  </si>
  <si>
    <t>Tuition Revenue</t>
  </si>
  <si>
    <t>Fee Revenue</t>
  </si>
  <si>
    <t>Salary Budget Decrease</t>
  </si>
  <si>
    <t>Benefit Budget Decrease</t>
  </si>
  <si>
    <t>Operating Budget Decrease</t>
  </si>
  <si>
    <t>Travel Budget Decrease</t>
  </si>
  <si>
    <t>Capital Budget Decrease</t>
  </si>
  <si>
    <t>Unexpended - Construction Fund Balance</t>
  </si>
  <si>
    <t xml:space="preserve">Expenditure Summary </t>
  </si>
  <si>
    <t>`</t>
  </si>
  <si>
    <t>Unexpended Construction Plant Fund</t>
  </si>
  <si>
    <t>Transfer to Unexpended Construction Plant Fund</t>
  </si>
  <si>
    <r>
      <t xml:space="preserve">Adjusted Unrestricted Undesignated Fund Balance After Allocation </t>
    </r>
    <r>
      <rPr>
        <b/>
        <vertAlign val="superscript"/>
        <sz val="12"/>
        <rFont val="Times New Roman"/>
        <family val="1"/>
      </rPr>
      <t>(1)</t>
    </r>
  </si>
  <si>
    <t xml:space="preserve">     Total Fund Balance Allocation</t>
  </si>
  <si>
    <t>Amendment/Fund Balance Allocation</t>
  </si>
  <si>
    <t>Transfer to Renewals and Replacements Plant Fund</t>
  </si>
  <si>
    <t xml:space="preserve">            Transfer to - Renewals and Replacements Plant Fund</t>
  </si>
  <si>
    <t>For the Fiscal Year Ending August 31, 2016</t>
  </si>
  <si>
    <t>FY 2016 Original Budget Revenue</t>
  </si>
  <si>
    <t>FY 2016 Original Budget Expenditures</t>
  </si>
  <si>
    <t>FY 2016 Amended Budget Revenues</t>
  </si>
  <si>
    <t>FY 2016 Amended Budget Expenditures</t>
  </si>
  <si>
    <t>Interest Limited Tax Bonds, Series 2015</t>
  </si>
  <si>
    <t>Interest Limited Tax Bonds, Series 2016</t>
  </si>
  <si>
    <t>Interest Limited Tax Bonds, Series 2017</t>
  </si>
  <si>
    <t>Interest Limited Tax Bonds, Series 2018</t>
  </si>
  <si>
    <t>Interest Limited Tax Bonds, Series 2019</t>
  </si>
  <si>
    <t>Interest Limited Tax Bonds, Series 2020</t>
  </si>
  <si>
    <t>Interest Limited Tax Bonds, Series 2021</t>
  </si>
  <si>
    <t>Interest Limited Tax Bonds, Series 2022</t>
  </si>
  <si>
    <t>Interest Limited Tax Bonds, Series 2023</t>
  </si>
  <si>
    <t>Interest Limited Tax Bonds, Series 2024</t>
  </si>
  <si>
    <t>Interest Limited Tax Bonds, Series 2025</t>
  </si>
  <si>
    <t>Interest Limited Tax Bonds, Series 2026</t>
  </si>
  <si>
    <t>Interest Limited Tax Bonds, Series 2027</t>
  </si>
  <si>
    <t>Interest Limited Tax Bonds, Series 2028</t>
  </si>
  <si>
    <t>Interest Limited Tax Bonds, Series 2029</t>
  </si>
  <si>
    <t>Interest Limited Tax Bonds, Series 2030</t>
  </si>
  <si>
    <t>Interest Limited Tax Bonds, Series 2031</t>
  </si>
  <si>
    <t>Interest Limited Tax Bonds, Series 2032</t>
  </si>
  <si>
    <t>Interest Limited Tax Bonds, Series 2033</t>
  </si>
  <si>
    <t>Interest Limited Tax Bonds, Series 2034</t>
  </si>
  <si>
    <t>Interest Limited Tax Bonds, Series 2035</t>
  </si>
  <si>
    <t>Interest Limited Tax Bonds, Series 2036</t>
  </si>
  <si>
    <t>Interest Limited Tax Bonds, Series 2037</t>
  </si>
  <si>
    <t>Interest Limited Tax Bonds, Series 2038</t>
  </si>
  <si>
    <t>Expenditures/Reserves/Transfers</t>
  </si>
  <si>
    <t>Unrestricted Fund Budget - AMENDED</t>
  </si>
  <si>
    <t>Fiscal Year 2017</t>
  </si>
  <si>
    <t>Unrestricted Undesignated Fund Balance at September 1, 2016</t>
  </si>
  <si>
    <t>(1)  Balance does not include FY 2016-2017 increase or decrease in fund balance or proposed designations for 
FY 2016-2017.</t>
  </si>
  <si>
    <t>Fiscal Year Ending August 31, 2017</t>
  </si>
  <si>
    <t>Auxiliary Fund</t>
  </si>
  <si>
    <t xml:space="preserve">Bookstore </t>
  </si>
  <si>
    <t>Interest Income</t>
  </si>
  <si>
    <t>Food Service</t>
  </si>
  <si>
    <t>Vending Machines</t>
  </si>
  <si>
    <t>Professional Development Conferences</t>
  </si>
  <si>
    <t>General Conferences</t>
  </si>
  <si>
    <t xml:space="preserve">MV-Child Care &amp; Development </t>
  </si>
  <si>
    <t>MV-Child Care &amp; Development Reserve</t>
  </si>
  <si>
    <t>Student Copier</t>
  </si>
  <si>
    <t>NAH Catering Services</t>
  </si>
  <si>
    <t>Self Supporting Conferences</t>
  </si>
  <si>
    <t>Student Activity Fee</t>
  </si>
  <si>
    <t>Scholarship</t>
  </si>
  <si>
    <t xml:space="preserve">            Transfer to - Unexpended Construction Plant Fund</t>
  </si>
  <si>
    <t xml:space="preserve">Unrestricted Undesignated </t>
  </si>
  <si>
    <t>Transfer to Plant Fund Amendment</t>
  </si>
  <si>
    <t>Transfer to - Unexpended Construction Plant Fund</t>
  </si>
  <si>
    <t>Transfer to - Renewals and Replacements Plant Fund</t>
  </si>
  <si>
    <r>
      <t xml:space="preserve">Adjusted Fund Balance After Allocation </t>
    </r>
    <r>
      <rPr>
        <vertAlign val="superscript"/>
        <sz val="12"/>
        <rFont val="Times New Roman"/>
        <family val="1"/>
      </rPr>
      <t>(1)</t>
    </r>
  </si>
  <si>
    <t>Fiscal Year 2018</t>
  </si>
  <si>
    <t>Fund Balance at September 1, 2017</t>
  </si>
  <si>
    <t>(1)  Balance does not include FY 2017-2018 increase or decrease in fund balance or proposed designations for 
FY 2017-2018.</t>
  </si>
  <si>
    <t>Expenditure/Fund Balance Summary</t>
  </si>
  <si>
    <t xml:space="preserve">Transfers In from Unrestricted Fund </t>
  </si>
  <si>
    <t>Other State Appropriation-ORP</t>
  </si>
  <si>
    <t>Other State Appropriation-TRS</t>
  </si>
  <si>
    <t>Other State Appropriation-HEGI</t>
  </si>
  <si>
    <t>Other State Appropriations Subtotal</t>
  </si>
  <si>
    <t>Total State Appropriations</t>
  </si>
  <si>
    <t>Total Tuition</t>
  </si>
  <si>
    <t>Total Fees</t>
  </si>
  <si>
    <t>Total Other Revenues</t>
  </si>
  <si>
    <t>Total M&amp;O Property Taxes</t>
  </si>
  <si>
    <t>Total Salaries</t>
  </si>
  <si>
    <t>Total Benefits</t>
  </si>
  <si>
    <t>Total Operating</t>
  </si>
  <si>
    <t>Total Travel</t>
  </si>
  <si>
    <t>Total Capital Outlay</t>
  </si>
  <si>
    <t>Total Expenditures</t>
  </si>
  <si>
    <t>Transfers &amp; Reserves</t>
  </si>
  <si>
    <t>Transfer to Renewals &amp; Replacements Plant Fund</t>
  </si>
  <si>
    <t>Total Transfers &amp; Reserves</t>
  </si>
  <si>
    <t xml:space="preserve">Total Carryover Allocations </t>
  </si>
  <si>
    <t>State Contact Hour Appropriation</t>
  </si>
  <si>
    <t>Contigency Fund</t>
  </si>
  <si>
    <t>Non Public Fund</t>
  </si>
  <si>
    <t>Amendment</t>
  </si>
  <si>
    <t>Self-Sustaining Conferences</t>
  </si>
  <si>
    <t xml:space="preserve">Mid-Valley Child Care &amp; Development Center </t>
  </si>
  <si>
    <t>Restricted Fund</t>
  </si>
  <si>
    <t>Total Restricted Revenue</t>
  </si>
  <si>
    <t>Total Scholarships</t>
  </si>
  <si>
    <t xml:space="preserve">Revenue Source </t>
  </si>
  <si>
    <t>Expenditures/Transfers &amp; Reserves</t>
  </si>
  <si>
    <t>Expenditures/Reserves</t>
  </si>
  <si>
    <t>Other State Appropriation-Hazlewood Reimbursement</t>
  </si>
  <si>
    <t>Other State Appropriation-HEGI Reimbursement</t>
  </si>
  <si>
    <t>Total Expenditures/Transfers &amp; Reserves</t>
  </si>
  <si>
    <t>Revenue Source and Carryover Allocations</t>
  </si>
  <si>
    <t>Total Revenues and Carryover Allocations</t>
  </si>
  <si>
    <t>Fiscal Year Ending August 31, 2022</t>
  </si>
  <si>
    <t>Amended</t>
  </si>
  <si>
    <t>increasing the transfer from unrestricted will result in less funds being deducted from the fund balance</t>
  </si>
  <si>
    <t>therefore in order to match to Nereida's worksheet, reduce the fund balance deduction</t>
  </si>
  <si>
    <t>this will result in a net change of $0 to the budget</t>
  </si>
  <si>
    <t>March 2022 Budget Amendment</t>
  </si>
  <si>
    <t>Detail of Transfer to Unexpended Plant Fund - Construction</t>
  </si>
  <si>
    <t>Project</t>
  </si>
  <si>
    <t>Amount</t>
  </si>
  <si>
    <t>Building P - Vice President for Finance and Administrative Services</t>
  </si>
  <si>
    <t>Total Transfer to Unexpended Plant Fund - Construction</t>
  </si>
  <si>
    <t>Building P - Accountability, Risk &amp; Compliance and Office of Institutional Equity</t>
  </si>
  <si>
    <t>Transfer to Unexpended Plant Fund - Construction</t>
  </si>
  <si>
    <t>Fiscal Year Ending August 31, 2023</t>
  </si>
  <si>
    <t>Original</t>
  </si>
  <si>
    <t>Auxiliary HEERF Revenue Loss Reimbursement</t>
  </si>
  <si>
    <t>NAH Pinning Fees</t>
  </si>
  <si>
    <t>Carryover Fund Balance</t>
  </si>
  <si>
    <t>Total Capital</t>
  </si>
  <si>
    <t>Total Technology</t>
  </si>
  <si>
    <t>Transfer to Student Activities Fund</t>
  </si>
  <si>
    <t>Fiscal Year Ending August 31,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</si>
</sst>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5" formatCode="&quot;$&quot;#,##0_);\(&quot;$&quot;#,##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409]#,##0"/>
    <numFmt numFmtId="165" formatCode="_([$$-409]* #,##0_);_([$$-409]* \(#,##0\);_([$$-409]* &quot;-&quot;_);_(@_)"/>
    <numFmt numFmtId="166" formatCode="#,##0.0000_);[Red]\(#,##0.0000\)"/>
    <numFmt numFmtId="167" formatCode="_(* #,##0_);_(* \(#,##0\);_(* &quot;-&quot;??_);_(@_)"/>
    <numFmt numFmtId="168" formatCode="&quot;$&quot;#,##0.00"/>
    <numFmt numFmtId="169" formatCode="_([$$-409]* #,##0.00_);_([$$-409]* \(#,##0.00\);_([$$-409]* &quot;-&quot;??_);_(@_)"/>
    <numFmt numFmtId="170" formatCode="[$-409]d\-mmm\-yy;@"/>
    <numFmt numFmtId="171" formatCode="#,##0.0000"/>
    <numFmt numFmtId="172" formatCode="&quot;$&quot;#,##0"/>
    <numFmt numFmtId="173" formatCode="_(&quot;$&quot;* #,##0_);_(&quot;$&quot;* \(#,##0\);_(&quot;$&quot;* &quot;-&quot;??_);_(@_)"/>
  </numFmts>
  <fonts count="52" x14ac:knownFonts="1">
    <font>
      <sz val="12"/>
      <name val="Arial"/>
    </font>
    <font>
      <sz val="11"/>
      <color theme="1"/>
      <name val="Calibri"/>
      <family val="2"/>
      <scheme val="minor"/>
    </font>
    <font>
      <sz val="11"/>
      <color theme="1"/>
      <name val="Calibri"/>
      <family val="2"/>
      <scheme val="minor"/>
    </font>
    <font>
      <sz val="10"/>
      <name val="Arial"/>
      <family val="2"/>
    </font>
    <font>
      <b/>
      <sz val="14"/>
      <name val="Arial"/>
      <family val="2"/>
    </font>
    <font>
      <sz val="12"/>
      <name val="Arial"/>
      <family val="2"/>
    </font>
    <font>
      <b/>
      <sz val="12"/>
      <name val="Arial"/>
      <family val="2"/>
    </font>
    <font>
      <b/>
      <sz val="22"/>
      <name val="Times New Roman"/>
      <family val="1"/>
    </font>
    <font>
      <sz val="22"/>
      <name val="Times New Roman"/>
      <family val="1"/>
    </font>
    <font>
      <b/>
      <sz val="22.5"/>
      <name val="Times New Roman"/>
      <family val="1"/>
    </font>
    <font>
      <sz val="22.5"/>
      <name val="Arial"/>
      <family val="2"/>
    </font>
    <font>
      <sz val="22.5"/>
      <name val="Times New Roman"/>
      <family val="1"/>
    </font>
    <font>
      <i/>
      <sz val="14"/>
      <name val="Times New Roman"/>
      <family val="1"/>
    </font>
    <font>
      <b/>
      <sz val="19"/>
      <name val="Times New Roman"/>
      <family val="1"/>
    </font>
    <font>
      <sz val="19"/>
      <name val="Times New Roman"/>
      <family val="1"/>
    </font>
    <font>
      <sz val="19"/>
      <name val="Arial"/>
      <family val="2"/>
    </font>
    <font>
      <b/>
      <sz val="20"/>
      <name val="Times New Roman"/>
      <family val="1"/>
    </font>
    <font>
      <sz val="24"/>
      <name val="Times New Roman"/>
      <family val="1"/>
    </font>
    <font>
      <b/>
      <sz val="24"/>
      <name val="Times New Roman"/>
      <family val="1"/>
    </font>
    <font>
      <sz val="24"/>
      <name val="Arial"/>
      <family val="2"/>
    </font>
    <font>
      <sz val="14"/>
      <name val="Times New Roman"/>
      <family val="1"/>
    </font>
    <font>
      <b/>
      <sz val="14"/>
      <name val="Times New Roman"/>
      <family val="1"/>
    </font>
    <font>
      <sz val="14"/>
      <name val="Arial"/>
      <family val="2"/>
    </font>
    <font>
      <sz val="12"/>
      <name val="Times New Roman"/>
      <family val="1"/>
    </font>
    <font>
      <sz val="10"/>
      <name val="Times New Roman"/>
      <family val="1"/>
    </font>
    <font>
      <sz val="11"/>
      <name val="Times New Roman"/>
      <family val="1"/>
    </font>
    <font>
      <sz val="11"/>
      <name val="Arial"/>
      <family val="2"/>
    </font>
    <font>
      <b/>
      <sz val="12"/>
      <name val="Times New Roman"/>
      <family val="1"/>
    </font>
    <font>
      <b/>
      <sz val="8"/>
      <color indexed="81"/>
      <name val="Tahoma"/>
      <family val="2"/>
    </font>
    <font>
      <sz val="8"/>
      <color indexed="81"/>
      <name val="Tahoma"/>
      <family val="2"/>
    </font>
    <font>
      <sz val="12"/>
      <color rgb="FFFF0000"/>
      <name val="Arial"/>
      <family val="2"/>
    </font>
    <font>
      <sz val="11"/>
      <color rgb="FFFF0000"/>
      <name val="Arial"/>
      <family val="2"/>
    </font>
    <font>
      <b/>
      <sz val="16"/>
      <name val="Times New Roman"/>
      <family val="1"/>
    </font>
    <font>
      <b/>
      <sz val="10"/>
      <name val="Times New Roman"/>
      <family val="1"/>
    </font>
    <font>
      <sz val="12"/>
      <color indexed="9"/>
      <name val="Times New Roman"/>
      <family val="1"/>
    </font>
    <font>
      <b/>
      <vertAlign val="superscript"/>
      <sz val="12"/>
      <name val="Times New Roman"/>
      <family val="1"/>
    </font>
    <font>
      <sz val="16"/>
      <name val="Times New Roman"/>
      <family val="1"/>
    </font>
    <font>
      <vertAlign val="superscript"/>
      <sz val="12"/>
      <name val="Times New Roman"/>
      <family val="1"/>
    </font>
    <font>
      <b/>
      <sz val="22"/>
      <name val="Arial"/>
      <family val="2"/>
    </font>
    <font>
      <sz val="22"/>
      <name val="Arial"/>
      <family val="2"/>
    </font>
    <font>
      <b/>
      <sz val="22.5"/>
      <name val="Arial"/>
      <family val="2"/>
    </font>
    <font>
      <i/>
      <sz val="14"/>
      <name val="Arial"/>
      <family val="2"/>
    </font>
    <font>
      <b/>
      <sz val="19"/>
      <name val="Arial"/>
      <family val="2"/>
    </font>
    <font>
      <b/>
      <sz val="20"/>
      <name val="Arial"/>
      <family val="2"/>
    </font>
    <font>
      <b/>
      <sz val="24"/>
      <name val="Arial"/>
      <family val="2"/>
    </font>
    <font>
      <sz val="16"/>
      <name val="Arial"/>
      <family val="2"/>
    </font>
    <font>
      <b/>
      <sz val="16"/>
      <name val="Arial"/>
      <family val="2"/>
    </font>
    <font>
      <i/>
      <sz val="12"/>
      <name val="Arial"/>
      <family val="2"/>
    </font>
    <font>
      <b/>
      <sz val="11"/>
      <color theme="1"/>
      <name val="Calibri"/>
      <family val="2"/>
      <scheme val="minor"/>
    </font>
    <font>
      <b/>
      <sz val="12"/>
      <color theme="1"/>
      <name val="Calibri"/>
      <family val="2"/>
      <scheme val="minor"/>
    </font>
    <font>
      <b/>
      <sz val="14"/>
      <color theme="0"/>
      <name val="Arial"/>
      <family val="2"/>
    </font>
    <font>
      <b/>
      <sz val="12"/>
      <color theme="0"/>
      <name val="Arial"/>
      <family val="2"/>
    </font>
  </fonts>
  <fills count="11">
    <fill>
      <patternFill patternType="none"/>
    </fill>
    <fill>
      <patternFill patternType="gray125"/>
    </fill>
    <fill>
      <patternFill patternType="solid">
        <fgColor indexed="13"/>
        <bgColor indexed="64"/>
      </patternFill>
    </fill>
    <fill>
      <patternFill patternType="solid">
        <fgColor indexed="47"/>
        <bgColor indexed="64"/>
      </patternFill>
    </fill>
    <fill>
      <patternFill patternType="solid">
        <fgColor rgb="FFFFFF00"/>
        <bgColor indexed="64"/>
      </patternFill>
    </fill>
    <fill>
      <patternFill patternType="solid">
        <fgColor theme="0" tint="-0.249977111117893"/>
        <bgColor indexed="64"/>
      </patternFill>
    </fill>
    <fill>
      <patternFill patternType="solid">
        <fgColor rgb="FF91BCE3"/>
        <bgColor indexed="64"/>
      </patternFill>
    </fill>
    <fill>
      <patternFill patternType="solid">
        <fgColor rgb="FF9BC2E5"/>
        <bgColor indexed="64"/>
      </patternFill>
    </fill>
    <fill>
      <patternFill patternType="solid">
        <fgColor rgb="FF1C456A"/>
        <bgColor indexed="64"/>
      </patternFill>
    </fill>
    <fill>
      <patternFill patternType="solid">
        <fgColor rgb="FF2E70AC"/>
        <bgColor indexed="64"/>
      </patternFill>
    </fill>
    <fill>
      <patternFill patternType="solid">
        <fgColor rgb="FFFFC000"/>
        <bgColor indexed="64"/>
      </patternFill>
    </fill>
  </fills>
  <borders count="56">
    <border>
      <left/>
      <right/>
      <top/>
      <bottom/>
      <diagonal/>
    </border>
    <border>
      <left/>
      <right/>
      <top style="medium">
        <color indexed="64"/>
      </top>
      <bottom/>
      <diagonal/>
    </border>
    <border>
      <left/>
      <right/>
      <top style="thin">
        <color indexed="64"/>
      </top>
      <bottom style="thin">
        <color indexed="64"/>
      </bottom>
      <diagonal/>
    </border>
    <border>
      <left/>
      <right/>
      <top/>
      <bottom style="medium">
        <color indexed="64"/>
      </bottom>
      <diagonal/>
    </border>
    <border>
      <left/>
      <right/>
      <top/>
      <bottom style="thin">
        <color indexed="64"/>
      </bottom>
      <diagonal/>
    </border>
    <border>
      <left style="thin">
        <color indexed="8"/>
      </left>
      <right/>
      <top/>
      <bottom/>
      <diagonal/>
    </border>
    <border>
      <left/>
      <right style="thin">
        <color indexed="64"/>
      </right>
      <top/>
      <bottom/>
      <diagonal/>
    </border>
    <border>
      <left style="thin">
        <color indexed="64"/>
      </left>
      <right style="thin">
        <color indexed="64"/>
      </right>
      <top/>
      <bottom/>
      <diagonal/>
    </border>
    <border>
      <left style="thin">
        <color indexed="8"/>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right/>
      <top style="medium">
        <color indexed="8"/>
      </top>
      <bottom/>
      <diagonal/>
    </border>
    <border>
      <left style="thin">
        <color indexed="8"/>
      </left>
      <right/>
      <top style="medium">
        <color indexed="8"/>
      </top>
      <bottom/>
      <diagonal/>
    </border>
    <border>
      <left/>
      <right style="thin">
        <color indexed="8"/>
      </right>
      <top/>
      <bottom/>
      <diagonal/>
    </border>
    <border>
      <left style="thin">
        <color indexed="8"/>
      </left>
      <right/>
      <top/>
      <bottom style="medium">
        <color indexed="8"/>
      </bottom>
      <diagonal/>
    </border>
    <border>
      <left style="thin">
        <color indexed="8"/>
      </left>
      <right/>
      <top style="medium">
        <color indexed="8"/>
      </top>
      <bottom style="medium">
        <color indexed="8"/>
      </bottom>
      <diagonal/>
    </border>
    <border>
      <left/>
      <right/>
      <top style="medium">
        <color indexed="8"/>
      </top>
      <bottom style="medium">
        <color indexed="8"/>
      </bottom>
      <diagonal/>
    </border>
    <border>
      <left/>
      <right style="thin">
        <color indexed="64"/>
      </right>
      <top style="medium">
        <color indexed="8"/>
      </top>
      <bottom style="medium">
        <color indexed="8"/>
      </bottom>
      <diagonal/>
    </border>
    <border>
      <left/>
      <right style="thin">
        <color indexed="8"/>
      </right>
      <top style="medium">
        <color indexed="8"/>
      </top>
      <bottom style="medium">
        <color indexed="8"/>
      </bottom>
      <diagonal/>
    </border>
    <border>
      <left style="thin">
        <color indexed="64"/>
      </left>
      <right style="thin">
        <color indexed="64"/>
      </right>
      <top style="medium">
        <color indexed="8"/>
      </top>
      <bottom style="medium">
        <color indexed="8"/>
      </bottom>
      <diagonal/>
    </border>
    <border>
      <left/>
      <right style="thin">
        <color indexed="64"/>
      </right>
      <top style="medium">
        <color indexed="64"/>
      </top>
      <bottom/>
      <diagonal/>
    </border>
    <border>
      <left/>
      <right style="thin">
        <color indexed="64"/>
      </right>
      <top style="medium">
        <color indexed="64"/>
      </top>
      <bottom style="medium">
        <color indexed="8"/>
      </bottom>
      <diagonal/>
    </border>
    <border>
      <left/>
      <right/>
      <top style="medium">
        <color indexed="64"/>
      </top>
      <bottom style="medium">
        <color indexed="8"/>
      </bottom>
      <diagonal/>
    </border>
    <border>
      <left/>
      <right style="thin">
        <color indexed="8"/>
      </right>
      <top style="medium">
        <color indexed="64"/>
      </top>
      <bottom style="medium">
        <color indexed="8"/>
      </bottom>
      <diagonal/>
    </border>
    <border>
      <left style="thin">
        <color indexed="64"/>
      </left>
      <right/>
      <top/>
      <bottom style="thin">
        <color indexed="64"/>
      </bottom>
      <diagonal/>
    </border>
    <border>
      <left/>
      <right/>
      <top style="thin">
        <color indexed="64"/>
      </top>
      <bottom/>
      <diagonal/>
    </border>
    <border>
      <left/>
      <right/>
      <top/>
      <bottom style="double">
        <color indexed="64"/>
      </bottom>
      <diagonal/>
    </border>
    <border>
      <left/>
      <right/>
      <top style="thin">
        <color indexed="64"/>
      </top>
      <bottom style="double">
        <color indexed="64"/>
      </bottom>
      <diagonal/>
    </border>
    <border>
      <left/>
      <right/>
      <top/>
      <bottom style="medium">
        <color auto="1"/>
      </bottom>
      <diagonal/>
    </border>
    <border>
      <left style="thin">
        <color indexed="64"/>
      </left>
      <right/>
      <top style="medium">
        <color indexed="64"/>
      </top>
      <bottom/>
      <diagonal/>
    </border>
    <border>
      <left style="thin">
        <color indexed="64"/>
      </left>
      <right/>
      <top/>
      <bottom/>
      <diagonal/>
    </border>
    <border>
      <left style="medium">
        <color auto="1"/>
      </left>
      <right style="thin">
        <color indexed="8"/>
      </right>
      <top style="medium">
        <color auto="1"/>
      </top>
      <bottom/>
      <diagonal/>
    </border>
    <border>
      <left style="medium">
        <color auto="1"/>
      </left>
      <right style="thin">
        <color indexed="8"/>
      </right>
      <top/>
      <bottom/>
      <diagonal/>
    </border>
    <border>
      <left style="medium">
        <color auto="1"/>
      </left>
      <right style="thin">
        <color indexed="8"/>
      </right>
      <top style="medium">
        <color indexed="8"/>
      </top>
      <bottom style="medium">
        <color indexed="8"/>
      </bottom>
      <diagonal/>
    </border>
    <border>
      <left style="medium">
        <color auto="1"/>
      </left>
      <right style="thin">
        <color indexed="8"/>
      </right>
      <top style="medium">
        <color indexed="8"/>
      </top>
      <bottom/>
      <diagonal/>
    </border>
    <border>
      <left style="medium">
        <color auto="1"/>
      </left>
      <right style="thin">
        <color indexed="8"/>
      </right>
      <top style="medium">
        <color indexed="8"/>
      </top>
      <bottom style="medium">
        <color indexed="8"/>
      </bottom>
      <diagonal/>
    </border>
    <border>
      <left/>
      <right/>
      <top style="medium">
        <color indexed="8"/>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style="double">
        <color indexed="64"/>
      </bottom>
      <diagonal/>
    </border>
    <border>
      <left style="thin">
        <color auto="1"/>
      </left>
      <right style="thin">
        <color indexed="64"/>
      </right>
      <top style="medium">
        <color auto="1"/>
      </top>
      <bottom/>
      <diagonal/>
    </border>
    <border>
      <left style="thin">
        <color auto="1"/>
      </left>
      <right style="thin">
        <color indexed="64"/>
      </right>
      <top/>
      <bottom style="medium">
        <color indexed="8"/>
      </bottom>
      <diagonal/>
    </border>
    <border>
      <left style="thin">
        <color indexed="64"/>
      </left>
      <right style="thin">
        <color indexed="8"/>
      </right>
      <top style="medium">
        <color indexed="8"/>
      </top>
      <bottom style="double">
        <color indexed="64"/>
      </bottom>
      <diagonal/>
    </border>
    <border>
      <left style="thin">
        <color indexed="64"/>
      </left>
      <right style="thin">
        <color indexed="64"/>
      </right>
      <top style="medium">
        <color indexed="8"/>
      </top>
      <bottom style="double">
        <color indexed="64"/>
      </bottom>
      <diagonal/>
    </border>
    <border>
      <left style="thin">
        <color indexed="64"/>
      </left>
      <right style="thin">
        <color indexed="8"/>
      </right>
      <top/>
      <bottom style="medium">
        <color indexed="64"/>
      </bottom>
      <diagonal/>
    </border>
    <border>
      <left style="medium">
        <color auto="1"/>
      </left>
      <right style="thin">
        <color indexed="8"/>
      </right>
      <top/>
      <bottom style="medium">
        <color auto="1"/>
      </bottom>
      <diagonal/>
    </border>
    <border>
      <left style="thin">
        <color indexed="64"/>
      </left>
      <right style="thin">
        <color indexed="64"/>
      </right>
      <top style="medium">
        <color indexed="64"/>
      </top>
      <bottom/>
      <diagonal/>
    </border>
    <border>
      <left style="thin">
        <color auto="1"/>
      </left>
      <right/>
      <top style="medium">
        <color auto="1"/>
      </top>
      <bottom/>
      <diagonal/>
    </border>
    <border>
      <left style="thin">
        <color indexed="64"/>
      </left>
      <right style="thin">
        <color indexed="8"/>
      </right>
      <top style="medium">
        <color indexed="64"/>
      </top>
      <bottom/>
      <diagonal/>
    </border>
    <border>
      <left style="thin">
        <color indexed="64"/>
      </left>
      <right/>
      <top/>
      <bottom style="medium">
        <color indexed="64"/>
      </bottom>
      <diagonal/>
    </border>
  </borders>
  <cellStyleXfs count="13">
    <xf numFmtId="0" fontId="0" fillId="0" borderId="0"/>
    <xf numFmtId="43" fontId="3" fillId="0" borderId="0" applyFont="0" applyFill="0" applyBorder="0" applyAlignment="0" applyProtection="0"/>
    <xf numFmtId="44" fontId="3" fillId="0" borderId="0" applyFont="0" applyFill="0" applyBorder="0" applyAlignment="0" applyProtection="0"/>
    <xf numFmtId="9" fontId="5" fillId="0" borderId="0" applyFont="0" applyFill="0" applyBorder="0" applyAlignment="0" applyProtection="0"/>
    <xf numFmtId="0" fontId="5" fillId="0" borderId="0"/>
    <xf numFmtId="43" fontId="3"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3" fillId="0" borderId="0" applyFont="0" applyFill="0" applyBorder="0" applyAlignment="0" applyProtection="0"/>
    <xf numFmtId="9" fontId="3" fillId="0" borderId="0" applyFont="0" applyFill="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cellStyleXfs>
  <cellXfs count="644">
    <xf numFmtId="0" fontId="0" fillId="0" borderId="0" xfId="0"/>
    <xf numFmtId="3" fontId="7" fillId="0" borderId="0" xfId="4" applyNumberFormat="1" applyFont="1" applyAlignment="1">
      <alignment horizontal="centerContinuous"/>
    </xf>
    <xf numFmtId="3" fontId="8" fillId="0" borderId="0" xfId="4" applyNumberFormat="1" applyFont="1" applyAlignment="1">
      <alignment horizontal="centerContinuous"/>
    </xf>
    <xf numFmtId="0" fontId="8" fillId="0" borderId="0" xfId="4" applyNumberFormat="1" applyFont="1" applyAlignment="1">
      <alignment horizontal="centerContinuous"/>
    </xf>
    <xf numFmtId="3" fontId="9" fillId="0" borderId="0" xfId="4" applyNumberFormat="1" applyFont="1" applyAlignment="1">
      <alignment horizontal="centerContinuous"/>
    </xf>
    <xf numFmtId="0" fontId="10" fillId="0" borderId="0" xfId="4" applyFont="1" applyAlignment="1">
      <alignment horizontal="centerContinuous"/>
    </xf>
    <xf numFmtId="0" fontId="11" fillId="0" borderId="0" xfId="4" applyNumberFormat="1" applyFont="1" applyAlignment="1">
      <alignment horizontal="centerContinuous"/>
    </xf>
    <xf numFmtId="3" fontId="12" fillId="0" borderId="0" xfId="4" applyNumberFormat="1" applyFont="1" applyAlignment="1">
      <alignment horizontal="centerContinuous"/>
    </xf>
    <xf numFmtId="0" fontId="11" fillId="0" borderId="0" xfId="4" applyNumberFormat="1" applyFont="1" applyAlignment="1"/>
    <xf numFmtId="0" fontId="10" fillId="0" borderId="0" xfId="4" applyNumberFormat="1" applyFont="1" applyAlignment="1"/>
    <xf numFmtId="0" fontId="10" fillId="0" borderId="0" xfId="4" applyFont="1" applyAlignment="1"/>
    <xf numFmtId="3" fontId="13" fillId="0" borderId="0" xfId="4" applyNumberFormat="1" applyFont="1" applyAlignment="1">
      <alignment horizontal="centerContinuous"/>
    </xf>
    <xf numFmtId="3" fontId="14" fillId="0" borderId="0" xfId="4" applyNumberFormat="1" applyFont="1" applyAlignment="1">
      <alignment horizontal="centerContinuous"/>
    </xf>
    <xf numFmtId="0" fontId="14" fillId="0" borderId="0" xfId="4" applyNumberFormat="1" applyFont="1" applyAlignment="1">
      <alignment horizontal="centerContinuous"/>
    </xf>
    <xf numFmtId="0" fontId="14" fillId="0" borderId="0" xfId="4" applyNumberFormat="1" applyFont="1" applyAlignment="1"/>
    <xf numFmtId="0" fontId="15" fillId="0" borderId="0" xfId="4" applyNumberFormat="1" applyFont="1" applyAlignment="1"/>
    <xf numFmtId="0" fontId="15" fillId="0" borderId="0" xfId="4" applyFont="1" applyAlignment="1"/>
    <xf numFmtId="3" fontId="16" fillId="0" borderId="0" xfId="4" applyNumberFormat="1" applyFont="1" applyAlignment="1">
      <alignment horizontal="centerContinuous"/>
    </xf>
    <xf numFmtId="3" fontId="17" fillId="0" borderId="0" xfId="4" applyNumberFormat="1" applyFont="1" applyAlignment="1">
      <alignment horizontal="centerContinuous"/>
    </xf>
    <xf numFmtId="0" fontId="17" fillId="0" borderId="0" xfId="4" applyNumberFormat="1" applyFont="1" applyAlignment="1">
      <alignment horizontal="centerContinuous"/>
    </xf>
    <xf numFmtId="3" fontId="18" fillId="0" borderId="0" xfId="4" applyNumberFormat="1" applyFont="1" applyAlignment="1">
      <alignment horizontal="centerContinuous"/>
    </xf>
    <xf numFmtId="0" fontId="17" fillId="0" borderId="0" xfId="4" applyNumberFormat="1" applyFont="1" applyAlignment="1"/>
    <xf numFmtId="0" fontId="19" fillId="0" borderId="0" xfId="4" applyNumberFormat="1" applyFont="1" applyAlignment="1"/>
    <xf numFmtId="0" fontId="19" fillId="0" borderId="0" xfId="4" applyFont="1" applyAlignment="1"/>
    <xf numFmtId="3" fontId="20" fillId="0" borderId="0" xfId="4" applyNumberFormat="1" applyFont="1" applyAlignment="1">
      <alignment horizontal="centerContinuous"/>
    </xf>
    <xf numFmtId="0" fontId="20" fillId="0" borderId="0" xfId="4" applyNumberFormat="1" applyFont="1" applyAlignment="1">
      <alignment horizontal="centerContinuous"/>
    </xf>
    <xf numFmtId="3" fontId="21" fillId="0" borderId="0" xfId="4" applyNumberFormat="1" applyFont="1" applyAlignment="1">
      <alignment horizontal="centerContinuous"/>
    </xf>
    <xf numFmtId="0" fontId="20" fillId="0" borderId="0" xfId="4" applyNumberFormat="1" applyFont="1" applyAlignment="1"/>
    <xf numFmtId="0" fontId="22" fillId="0" borderId="0" xfId="4" applyNumberFormat="1" applyFont="1" applyAlignment="1"/>
    <xf numFmtId="0" fontId="22" fillId="0" borderId="0" xfId="4" applyFont="1" applyAlignment="1"/>
    <xf numFmtId="3" fontId="23" fillId="0" borderId="0" xfId="4" applyNumberFormat="1" applyFont="1" applyAlignment="1">
      <alignment horizontal="centerContinuous"/>
    </xf>
    <xf numFmtId="0" fontId="23" fillId="0" borderId="0" xfId="4" applyNumberFormat="1" applyFont="1" applyAlignment="1">
      <alignment horizontal="centerContinuous"/>
    </xf>
    <xf numFmtId="0" fontId="23" fillId="0" borderId="0" xfId="4" applyNumberFormat="1" applyFont="1" applyAlignment="1"/>
    <xf numFmtId="0" fontId="5" fillId="0" borderId="0" xfId="4" applyNumberFormat="1" applyFont="1" applyAlignment="1"/>
    <xf numFmtId="0" fontId="5" fillId="0" borderId="0" xfId="4"/>
    <xf numFmtId="0" fontId="22" fillId="0" borderId="0" xfId="4" applyNumberFormat="1" applyFont="1" applyAlignment="1">
      <alignment horizontal="left"/>
    </xf>
    <xf numFmtId="0" fontId="22" fillId="0" borderId="0" xfId="4" applyFont="1" applyAlignment="1">
      <alignment horizontal="left"/>
    </xf>
    <xf numFmtId="3" fontId="23" fillId="0" borderId="3" xfId="4" applyNumberFormat="1" applyFont="1" applyBorder="1" applyAlignment="1"/>
    <xf numFmtId="3" fontId="21" fillId="0" borderId="3" xfId="4" applyNumberFormat="1" applyFont="1" applyBorder="1" applyAlignment="1">
      <alignment horizontal="centerContinuous"/>
    </xf>
    <xf numFmtId="0" fontId="23" fillId="0" borderId="3" xfId="4" applyNumberFormat="1" applyFont="1" applyBorder="1" applyAlignment="1"/>
    <xf numFmtId="3" fontId="21" fillId="0" borderId="0" xfId="4" applyNumberFormat="1" applyFont="1" applyBorder="1" applyAlignment="1"/>
    <xf numFmtId="3" fontId="21" fillId="0" borderId="5" xfId="4" applyNumberFormat="1" applyFont="1" applyBorder="1" applyAlignment="1"/>
    <xf numFmtId="3" fontId="21" fillId="0" borderId="5" xfId="4" applyNumberFormat="1" applyFont="1" applyBorder="1" applyAlignment="1">
      <alignment horizontal="center"/>
    </xf>
    <xf numFmtId="0" fontId="21" fillId="0" borderId="6" xfId="4" applyNumberFormat="1" applyFont="1" applyBorder="1" applyAlignment="1">
      <alignment horizontal="center"/>
    </xf>
    <xf numFmtId="3" fontId="21" fillId="0" borderId="0" xfId="4" applyNumberFormat="1" applyFont="1" applyBorder="1" applyAlignment="1">
      <alignment horizontal="center"/>
    </xf>
    <xf numFmtId="0" fontId="21" fillId="0" borderId="0" xfId="4" applyNumberFormat="1" applyFont="1" applyBorder="1" applyAlignment="1">
      <alignment horizontal="center"/>
    </xf>
    <xf numFmtId="3" fontId="21" fillId="0" borderId="7" xfId="4" applyNumberFormat="1" applyFont="1" applyBorder="1" applyAlignment="1">
      <alignment horizontal="center"/>
    </xf>
    <xf numFmtId="0" fontId="22" fillId="0" borderId="0" xfId="4" applyFont="1"/>
    <xf numFmtId="3" fontId="21" fillId="0" borderId="0" xfId="4" applyNumberFormat="1" applyFont="1" applyAlignment="1">
      <alignment horizontal="centerContinuous" wrapText="1"/>
    </xf>
    <xf numFmtId="3" fontId="21" fillId="0" borderId="5" xfId="4" applyNumberFormat="1" applyFont="1" applyBorder="1" applyAlignment="1">
      <alignment horizontal="centerContinuous" wrapText="1"/>
    </xf>
    <xf numFmtId="3" fontId="21" fillId="0" borderId="8" xfId="4" applyNumberFormat="1" applyFont="1" applyBorder="1" applyAlignment="1">
      <alignment horizontal="center"/>
    </xf>
    <xf numFmtId="3" fontId="21" fillId="0" borderId="9" xfId="4" applyNumberFormat="1" applyFont="1" applyFill="1" applyBorder="1" applyAlignment="1">
      <alignment horizontal="center" wrapText="1"/>
    </xf>
    <xf numFmtId="3" fontId="21" fillId="0" borderId="3" xfId="4" applyNumberFormat="1" applyFont="1" applyBorder="1" applyAlignment="1">
      <alignment horizontal="center"/>
    </xf>
    <xf numFmtId="3" fontId="21" fillId="0" borderId="3" xfId="4" applyNumberFormat="1" applyFont="1" applyFill="1" applyBorder="1" applyAlignment="1">
      <alignment horizontal="center" wrapText="1"/>
    </xf>
    <xf numFmtId="3" fontId="21" fillId="0" borderId="10" xfId="4" applyNumberFormat="1" applyFont="1" applyBorder="1" applyAlignment="1">
      <alignment horizontal="center" wrapText="1"/>
    </xf>
    <xf numFmtId="0" fontId="22" fillId="0" borderId="0" xfId="4" applyNumberFormat="1" applyFont="1" applyAlignment="1">
      <alignment wrapText="1"/>
    </xf>
    <xf numFmtId="0" fontId="22" fillId="0" borderId="0" xfId="4" applyFont="1" applyAlignment="1">
      <alignment wrapText="1"/>
    </xf>
    <xf numFmtId="3" fontId="5" fillId="0" borderId="11" xfId="4" applyNumberFormat="1" applyFont="1" applyBorder="1" applyAlignment="1"/>
    <xf numFmtId="3" fontId="5" fillId="0" borderId="12" xfId="4" applyNumberFormat="1" applyFont="1" applyBorder="1" applyAlignment="1"/>
    <xf numFmtId="3" fontId="5" fillId="0" borderId="5" xfId="4" applyNumberFormat="1" applyFont="1" applyBorder="1" applyAlignment="1"/>
    <xf numFmtId="0" fontId="5" fillId="0" borderId="6" xfId="4" applyNumberFormat="1" applyFont="1" applyBorder="1" applyAlignment="1"/>
    <xf numFmtId="3" fontId="4" fillId="0" borderId="0" xfId="4" applyNumberFormat="1" applyFont="1" applyBorder="1" applyAlignment="1">
      <alignment horizontal="centerContinuous"/>
    </xf>
    <xf numFmtId="0" fontId="5" fillId="0" borderId="0" xfId="4" applyNumberFormat="1" applyFont="1" applyBorder="1" applyAlignment="1"/>
    <xf numFmtId="3" fontId="4" fillId="0" borderId="0" xfId="4" applyNumberFormat="1" applyFont="1" applyAlignment="1">
      <alignment horizontal="centerContinuous"/>
    </xf>
    <xf numFmtId="3" fontId="4" fillId="0" borderId="7" xfId="4" applyNumberFormat="1" applyFont="1" applyBorder="1" applyAlignment="1">
      <alignment horizontal="centerContinuous"/>
    </xf>
    <xf numFmtId="3" fontId="23" fillId="0" borderId="0" xfId="4" applyNumberFormat="1" applyFont="1" applyAlignment="1"/>
    <xf numFmtId="164" fontId="23" fillId="0" borderId="5" xfId="4" applyNumberFormat="1" applyFont="1" applyBorder="1" applyAlignment="1"/>
    <xf numFmtId="164" fontId="23" fillId="0" borderId="0" xfId="4" applyNumberFormat="1" applyFont="1" applyAlignment="1"/>
    <xf numFmtId="165" fontId="23" fillId="0" borderId="5" xfId="4" applyNumberFormat="1" applyFont="1" applyBorder="1" applyAlignment="1"/>
    <xf numFmtId="165" fontId="23" fillId="0" borderId="0" xfId="4" applyNumberFormat="1" applyFont="1" applyAlignment="1"/>
    <xf numFmtId="164" fontId="23" fillId="0" borderId="6" xfId="4" applyNumberFormat="1" applyFont="1" applyBorder="1" applyAlignment="1"/>
    <xf numFmtId="164" fontId="23" fillId="0" borderId="0" xfId="4" applyNumberFormat="1" applyFont="1" applyBorder="1" applyAlignment="1">
      <alignment horizontal="right"/>
    </xf>
    <xf numFmtId="164" fontId="23" fillId="0" borderId="0" xfId="4" applyNumberFormat="1" applyFont="1" applyBorder="1" applyAlignment="1"/>
    <xf numFmtId="164" fontId="23" fillId="0" borderId="0" xfId="4" applyNumberFormat="1" applyFont="1" applyAlignment="1">
      <alignment horizontal="right"/>
    </xf>
    <xf numFmtId="0" fontId="5" fillId="0" borderId="0" xfId="4" applyFont="1"/>
    <xf numFmtId="3" fontId="23" fillId="0" borderId="5" xfId="4" applyNumberFormat="1" applyFont="1" applyBorder="1" applyAlignment="1"/>
    <xf numFmtId="37" fontId="23" fillId="0" borderId="5" xfId="4" applyNumberFormat="1" applyFont="1" applyBorder="1" applyAlignment="1"/>
    <xf numFmtId="3" fontId="23" fillId="0" borderId="6" xfId="4" applyNumberFormat="1" applyFont="1" applyBorder="1" applyAlignment="1"/>
    <xf numFmtId="3" fontId="23" fillId="0" borderId="0" xfId="4" applyNumberFormat="1" applyFont="1" applyBorder="1" applyAlignment="1">
      <alignment horizontal="right"/>
    </xf>
    <xf numFmtId="3" fontId="23" fillId="0" borderId="0" xfId="4" applyNumberFormat="1" applyFont="1" applyBorder="1" applyAlignment="1"/>
    <xf numFmtId="3" fontId="23" fillId="0" borderId="0" xfId="4" applyNumberFormat="1" applyFont="1" applyAlignment="1">
      <alignment horizontal="right"/>
    </xf>
    <xf numFmtId="3" fontId="23" fillId="0" borderId="0" xfId="4" applyNumberFormat="1" applyFont="1" applyFill="1" applyBorder="1" applyAlignment="1"/>
    <xf numFmtId="3" fontId="23" fillId="0" borderId="13" xfId="4" applyNumberFormat="1" applyFont="1" applyBorder="1" applyAlignment="1"/>
    <xf numFmtId="0" fontId="5" fillId="0" borderId="0" xfId="4" applyNumberFormat="1" applyFont="1" applyAlignment="1">
      <alignment horizontal="right"/>
    </xf>
    <xf numFmtId="40" fontId="5" fillId="0" borderId="0" xfId="4" applyNumberFormat="1" applyFont="1" applyAlignment="1"/>
    <xf numFmtId="4" fontId="5" fillId="0" borderId="0" xfId="4" applyNumberFormat="1" applyFont="1" applyAlignment="1"/>
    <xf numFmtId="166" fontId="5" fillId="0" borderId="0" xfId="4" applyNumberFormat="1" applyFont="1" applyAlignment="1"/>
    <xf numFmtId="3" fontId="23" fillId="0" borderId="6" xfId="4" applyNumberFormat="1" applyFont="1" applyFill="1" applyBorder="1" applyAlignment="1"/>
    <xf numFmtId="3" fontId="21" fillId="0" borderId="5" xfId="4" applyNumberFormat="1" applyFont="1" applyBorder="1" applyAlignment="1">
      <alignment horizontal="centerContinuous"/>
    </xf>
    <xf numFmtId="3" fontId="21" fillId="0" borderId="13" xfId="4" applyNumberFormat="1" applyFont="1" applyBorder="1" applyAlignment="1">
      <alignment horizontal="centerContinuous"/>
    </xf>
    <xf numFmtId="3" fontId="21" fillId="0" borderId="14" xfId="4" applyNumberFormat="1" applyFont="1" applyBorder="1" applyAlignment="1">
      <alignment horizontal="centerContinuous"/>
    </xf>
    <xf numFmtId="3" fontId="20" fillId="0" borderId="6" xfId="4" applyNumberFormat="1" applyFont="1" applyBorder="1" applyAlignment="1"/>
    <xf numFmtId="3" fontId="20" fillId="0" borderId="3" xfId="4" applyNumberFormat="1" applyFont="1" applyBorder="1" applyAlignment="1">
      <alignment horizontal="right"/>
    </xf>
    <xf numFmtId="3" fontId="20" fillId="0" borderId="0" xfId="4" applyNumberFormat="1" applyFont="1" applyBorder="1" applyAlignment="1"/>
    <xf numFmtId="3" fontId="20" fillId="0" borderId="6" xfId="4" applyNumberFormat="1" applyFont="1" applyFill="1" applyBorder="1" applyAlignment="1"/>
    <xf numFmtId="3" fontId="20" fillId="0" borderId="10" xfId="4" applyNumberFormat="1" applyFont="1" applyBorder="1" applyAlignment="1">
      <alignment horizontal="right"/>
    </xf>
    <xf numFmtId="40" fontId="5" fillId="0" borderId="0" xfId="4" applyNumberFormat="1"/>
    <xf numFmtId="40" fontId="5" fillId="0" borderId="0" xfId="4" applyNumberFormat="1" applyFont="1" applyFill="1" applyBorder="1" applyAlignment="1"/>
    <xf numFmtId="4" fontId="5" fillId="0" borderId="0" xfId="4" applyNumberFormat="1"/>
    <xf numFmtId="164" fontId="21" fillId="0" borderId="12" xfId="4" applyNumberFormat="1" applyFont="1" applyBorder="1" applyAlignment="1">
      <alignment horizontal="centerContinuous"/>
    </xf>
    <xf numFmtId="164" fontId="21" fillId="0" borderId="11" xfId="4" applyNumberFormat="1" applyFont="1" applyBorder="1" applyAlignment="1">
      <alignment horizontal="centerContinuous"/>
    </xf>
    <xf numFmtId="164" fontId="21" fillId="0" borderId="15" xfId="4" applyNumberFormat="1" applyFont="1" applyBorder="1" applyAlignment="1">
      <alignment horizontal="right"/>
    </xf>
    <xf numFmtId="164" fontId="21" fillId="0" borderId="16" xfId="4" applyNumberFormat="1" applyFont="1" applyBorder="1" applyAlignment="1">
      <alignment horizontal="right"/>
    </xf>
    <xf numFmtId="165" fontId="21" fillId="0" borderId="15" xfId="4" applyNumberFormat="1" applyFont="1" applyBorder="1" applyAlignment="1">
      <alignment horizontal="right"/>
    </xf>
    <xf numFmtId="165" fontId="21" fillId="0" borderId="16" xfId="4" applyNumberFormat="1" applyFont="1" applyBorder="1" applyAlignment="1">
      <alignment horizontal="right"/>
    </xf>
    <xf numFmtId="164" fontId="21" fillId="0" borderId="17" xfId="4" applyNumberFormat="1" applyFont="1" applyBorder="1" applyAlignment="1">
      <alignment horizontal="right"/>
    </xf>
    <xf numFmtId="164" fontId="21" fillId="0" borderId="18" xfId="4" applyNumberFormat="1" applyFont="1" applyBorder="1" applyAlignment="1">
      <alignment horizontal="right"/>
    </xf>
    <xf numFmtId="40" fontId="22" fillId="0" borderId="0" xfId="4" applyNumberFormat="1" applyFont="1" applyAlignment="1"/>
    <xf numFmtId="40" fontId="22" fillId="0" borderId="0" xfId="4" applyNumberFormat="1" applyFont="1"/>
    <xf numFmtId="4" fontId="22" fillId="0" borderId="0" xfId="4" applyNumberFormat="1" applyFont="1" applyAlignment="1"/>
    <xf numFmtId="3" fontId="5" fillId="0" borderId="0" xfId="4" applyNumberFormat="1" applyFont="1" applyBorder="1" applyAlignment="1"/>
    <xf numFmtId="3" fontId="4" fillId="0" borderId="11" xfId="4" applyNumberFormat="1" applyFont="1" applyBorder="1" applyAlignment="1">
      <alignment horizontal="centerContinuous"/>
    </xf>
    <xf numFmtId="3" fontId="21" fillId="0" borderId="0" xfId="4" applyNumberFormat="1" applyFont="1" applyBorder="1" applyAlignment="1">
      <alignment horizontal="centerContinuous"/>
    </xf>
    <xf numFmtId="0" fontId="20" fillId="0" borderId="0" xfId="4" applyNumberFormat="1" applyFont="1" applyBorder="1" applyAlignment="1">
      <alignment horizontal="centerContinuous"/>
    </xf>
    <xf numFmtId="40" fontId="22" fillId="0" borderId="0" xfId="4" applyNumberFormat="1" applyFont="1" applyAlignment="1">
      <alignment horizontal="left"/>
    </xf>
    <xf numFmtId="4" fontId="22" fillId="0" borderId="0" xfId="4" applyNumberFormat="1" applyFont="1" applyAlignment="1">
      <alignment horizontal="left"/>
    </xf>
    <xf numFmtId="3" fontId="23" fillId="0" borderId="11" xfId="4" applyNumberFormat="1" applyFont="1" applyBorder="1" applyAlignment="1"/>
    <xf numFmtId="3" fontId="23" fillId="0" borderId="12" xfId="4" applyNumberFormat="1" applyFont="1" applyBorder="1" applyAlignment="1"/>
    <xf numFmtId="0" fontId="23" fillId="0" borderId="20" xfId="4" applyNumberFormat="1" applyFont="1" applyBorder="1" applyAlignment="1"/>
    <xf numFmtId="0" fontId="23" fillId="0" borderId="1" xfId="4" applyNumberFormat="1" applyFont="1" applyBorder="1" applyAlignment="1"/>
    <xf numFmtId="3" fontId="21" fillId="0" borderId="7" xfId="4" applyNumberFormat="1" applyFont="1" applyBorder="1" applyAlignment="1">
      <alignment horizontal="centerContinuous"/>
    </xf>
    <xf numFmtId="164" fontId="23" fillId="0" borderId="0" xfId="4" applyNumberFormat="1" applyFont="1" applyFill="1" applyBorder="1" applyAlignment="1"/>
    <xf numFmtId="164" fontId="23" fillId="0" borderId="0" xfId="4" applyNumberFormat="1" applyFont="1" applyFill="1" applyBorder="1" applyAlignment="1">
      <alignment horizontal="right"/>
    </xf>
    <xf numFmtId="164" fontId="23" fillId="0" borderId="6" xfId="4" applyNumberFormat="1" applyFont="1" applyFill="1" applyBorder="1" applyAlignment="1"/>
    <xf numFmtId="164" fontId="23" fillId="0" borderId="0" xfId="4" applyNumberFormat="1" applyFont="1" applyFill="1" applyAlignment="1">
      <alignment horizontal="right"/>
    </xf>
    <xf numFmtId="168" fontId="5" fillId="0" borderId="0" xfId="4" applyNumberFormat="1" applyFont="1" applyAlignment="1"/>
    <xf numFmtId="37" fontId="23" fillId="0" borderId="0" xfId="5" applyNumberFormat="1" applyFont="1" applyFill="1" applyAlignment="1">
      <alignment horizontal="right"/>
    </xf>
    <xf numFmtId="37" fontId="23" fillId="0" borderId="0" xfId="5" applyNumberFormat="1" applyFont="1" applyFill="1" applyBorder="1" applyAlignment="1"/>
    <xf numFmtId="37" fontId="23" fillId="0" borderId="0" xfId="4" applyNumberFormat="1" applyFont="1" applyAlignment="1"/>
    <xf numFmtId="164" fontId="23" fillId="0" borderId="6" xfId="4" applyNumberFormat="1" applyFont="1" applyBorder="1"/>
    <xf numFmtId="37" fontId="23" fillId="0" borderId="0" xfId="4" applyNumberFormat="1" applyFont="1" applyAlignment="1">
      <alignment horizontal="right"/>
    </xf>
    <xf numFmtId="37" fontId="23" fillId="0" borderId="0" xfId="4" applyNumberFormat="1" applyFont="1" applyBorder="1" applyAlignment="1"/>
    <xf numFmtId="167" fontId="23" fillId="0" borderId="7" xfId="1" applyNumberFormat="1" applyFont="1" applyBorder="1" applyAlignment="1">
      <alignment horizontal="right"/>
    </xf>
    <xf numFmtId="164" fontId="21" fillId="0" borderId="12" xfId="4" applyNumberFormat="1" applyFont="1" applyBorder="1" applyAlignment="1"/>
    <xf numFmtId="164" fontId="21" fillId="0" borderId="11" xfId="4" applyNumberFormat="1" applyFont="1" applyBorder="1" applyAlignment="1"/>
    <xf numFmtId="169" fontId="21" fillId="0" borderId="12" xfId="4" applyNumberFormat="1" applyFont="1" applyBorder="1" applyAlignment="1"/>
    <xf numFmtId="169" fontId="21" fillId="0" borderId="11" xfId="4" applyNumberFormat="1" applyFont="1" applyBorder="1" applyAlignment="1"/>
    <xf numFmtId="164" fontId="21" fillId="0" borderId="15" xfId="4" applyNumberFormat="1" applyFont="1" applyBorder="1" applyAlignment="1"/>
    <xf numFmtId="164" fontId="21" fillId="0" borderId="21" xfId="4" applyNumberFormat="1" applyFont="1" applyBorder="1" applyAlignment="1"/>
    <xf numFmtId="164" fontId="21" fillId="0" borderId="16" xfId="4" applyNumberFormat="1" applyFont="1" applyBorder="1" applyAlignment="1"/>
    <xf numFmtId="164" fontId="21" fillId="0" borderId="22" xfId="4" applyNumberFormat="1" applyFont="1" applyBorder="1" applyAlignment="1"/>
    <xf numFmtId="164" fontId="21" fillId="0" borderId="23" xfId="4" applyNumberFormat="1" applyFont="1" applyBorder="1" applyAlignment="1"/>
    <xf numFmtId="0" fontId="23" fillId="0" borderId="0" xfId="4" applyNumberFormat="1" applyFont="1" applyBorder="1" applyAlignment="1"/>
    <xf numFmtId="0" fontId="5" fillId="0" borderId="0" xfId="4" applyBorder="1"/>
    <xf numFmtId="3" fontId="24" fillId="0" borderId="0" xfId="4" applyNumberFormat="1" applyFont="1" applyAlignment="1"/>
    <xf numFmtId="0" fontId="24" fillId="0" borderId="0" xfId="4" applyNumberFormat="1" applyFont="1" applyBorder="1" applyAlignment="1"/>
    <xf numFmtId="0" fontId="24" fillId="0" borderId="0" xfId="4" applyNumberFormat="1" applyFont="1" applyBorder="1"/>
    <xf numFmtId="0" fontId="25" fillId="0" borderId="0" xfId="4" applyNumberFormat="1" applyFont="1" applyBorder="1" applyAlignment="1"/>
    <xf numFmtId="37" fontId="25" fillId="0" borderId="0" xfId="4" applyNumberFormat="1" applyFont="1" applyBorder="1" applyAlignment="1"/>
    <xf numFmtId="0" fontId="6" fillId="0" borderId="0" xfId="4" applyNumberFormat="1" applyFont="1" applyAlignment="1"/>
    <xf numFmtId="0" fontId="25" fillId="0" borderId="0" xfId="4" applyNumberFormat="1" applyFont="1" applyBorder="1"/>
    <xf numFmtId="167" fontId="25" fillId="0" borderId="0" xfId="5" applyNumberFormat="1" applyFont="1" applyFill="1" applyBorder="1" applyAlignment="1"/>
    <xf numFmtId="0" fontId="24" fillId="0" borderId="24" xfId="4" applyNumberFormat="1" applyFont="1" applyBorder="1" applyAlignment="1"/>
    <xf numFmtId="0" fontId="24" fillId="0" borderId="4" xfId="4" applyNumberFormat="1" applyFont="1" applyBorder="1" applyAlignment="1"/>
    <xf numFmtId="40" fontId="23" fillId="0" borderId="0" xfId="4" applyNumberFormat="1" applyFont="1" applyAlignment="1"/>
    <xf numFmtId="0" fontId="23" fillId="0" borderId="0" xfId="4" applyFont="1" applyBorder="1"/>
    <xf numFmtId="0" fontId="25" fillId="0" borderId="0" xfId="4" applyNumberFormat="1" applyFont="1" applyFill="1" applyBorder="1" applyAlignment="1">
      <alignment wrapText="1"/>
    </xf>
    <xf numFmtId="167" fontId="5" fillId="0" borderId="0" xfId="1" applyNumberFormat="1" applyFont="1"/>
    <xf numFmtId="43" fontId="25" fillId="0" borderId="0" xfId="5" applyFont="1" applyBorder="1" applyAlignment="1"/>
    <xf numFmtId="0" fontId="25" fillId="0" borderId="0" xfId="4" applyFont="1"/>
    <xf numFmtId="0" fontId="25" fillId="0" borderId="0" xfId="4" applyFont="1" applyBorder="1"/>
    <xf numFmtId="0" fontId="26" fillId="0" borderId="0" xfId="4" applyFont="1" applyBorder="1"/>
    <xf numFmtId="164" fontId="25" fillId="0" borderId="0" xfId="4" applyNumberFormat="1" applyFont="1"/>
    <xf numFmtId="0" fontId="26" fillId="0" borderId="0" xfId="4" applyFont="1"/>
    <xf numFmtId="167" fontId="5" fillId="0" borderId="0" xfId="1" applyNumberFormat="1" applyFont="1" applyBorder="1" applyAlignment="1"/>
    <xf numFmtId="3" fontId="23" fillId="0" borderId="0" xfId="4" applyNumberFormat="1" applyFont="1" applyBorder="1"/>
    <xf numFmtId="3" fontId="23" fillId="0" borderId="0" xfId="4" applyNumberFormat="1" applyFont="1"/>
    <xf numFmtId="40" fontId="23" fillId="0" borderId="0" xfId="4" applyNumberFormat="1" applyFont="1"/>
    <xf numFmtId="3" fontId="5" fillId="0" borderId="0" xfId="4" applyNumberFormat="1"/>
    <xf numFmtId="167" fontId="26" fillId="0" borderId="0" xfId="1" applyNumberFormat="1" applyFont="1" applyBorder="1"/>
    <xf numFmtId="4" fontId="23" fillId="0" borderId="0" xfId="4" applyNumberFormat="1" applyFont="1"/>
    <xf numFmtId="4" fontId="23" fillId="0" borderId="0" xfId="4" applyNumberFormat="1" applyFont="1" applyAlignment="1"/>
    <xf numFmtId="167" fontId="26" fillId="0" borderId="0" xfId="1" applyNumberFormat="1" applyFont="1"/>
    <xf numFmtId="170" fontId="21" fillId="0" borderId="0" xfId="4" applyNumberFormat="1" applyFont="1" applyAlignment="1">
      <alignment horizontal="right"/>
    </xf>
    <xf numFmtId="3" fontId="21" fillId="0" borderId="0" xfId="4" applyNumberFormat="1" applyFont="1" applyAlignment="1">
      <alignment horizontal="center"/>
    </xf>
    <xf numFmtId="3" fontId="20" fillId="0" borderId="0" xfId="4" applyNumberFormat="1" applyFont="1" applyAlignment="1">
      <alignment horizontal="right"/>
    </xf>
    <xf numFmtId="3" fontId="20" fillId="2" borderId="0" xfId="4" applyNumberFormat="1" applyFont="1" applyFill="1" applyAlignment="1">
      <alignment horizontal="right"/>
    </xf>
    <xf numFmtId="167" fontId="5" fillId="0" borderId="0" xfId="1" applyNumberFormat="1" applyFont="1" applyAlignment="1"/>
    <xf numFmtId="40" fontId="23" fillId="0" borderId="25" xfId="4" applyNumberFormat="1" applyFont="1" applyBorder="1" applyAlignment="1"/>
    <xf numFmtId="40" fontId="23" fillId="0" borderId="26" xfId="4" applyNumberFormat="1" applyFont="1" applyBorder="1" applyAlignment="1"/>
    <xf numFmtId="40" fontId="23" fillId="0" borderId="27" xfId="4" applyNumberFormat="1" applyFont="1" applyBorder="1" applyAlignment="1"/>
    <xf numFmtId="3" fontId="20" fillId="0" borderId="27" xfId="4" applyNumberFormat="1" applyFont="1" applyBorder="1" applyAlignment="1"/>
    <xf numFmtId="3" fontId="20" fillId="0" borderId="0" xfId="4" applyNumberFormat="1" applyFont="1" applyAlignment="1"/>
    <xf numFmtId="40" fontId="27" fillId="0" borderId="0" xfId="4" applyNumberFormat="1" applyFont="1" applyAlignment="1"/>
    <xf numFmtId="3" fontId="21" fillId="0" borderId="0" xfId="4" applyNumberFormat="1" applyFont="1" applyAlignment="1"/>
    <xf numFmtId="43" fontId="23" fillId="0" borderId="0" xfId="5" applyFont="1" applyAlignment="1"/>
    <xf numFmtId="10" fontId="5" fillId="0" borderId="0" xfId="3" applyNumberFormat="1" applyFont="1" applyAlignment="1"/>
    <xf numFmtId="43" fontId="23" fillId="0" borderId="0" xfId="5" applyFont="1" applyBorder="1"/>
    <xf numFmtId="0" fontId="23" fillId="0" borderId="0" xfId="4" applyFont="1"/>
    <xf numFmtId="43" fontId="23" fillId="0" borderId="0" xfId="5" applyFont="1" applyBorder="1" applyAlignment="1"/>
    <xf numFmtId="9" fontId="5" fillId="0" borderId="0" xfId="3" applyFont="1" applyAlignment="1"/>
    <xf numFmtId="43" fontId="23" fillId="3" borderId="0" xfId="5" applyFont="1" applyFill="1" applyBorder="1" applyAlignment="1"/>
    <xf numFmtId="43" fontId="23" fillId="0" borderId="27" xfId="5" applyFont="1" applyBorder="1" applyAlignment="1"/>
    <xf numFmtId="43" fontId="21" fillId="0" borderId="0" xfId="5" applyFont="1" applyAlignment="1">
      <alignment horizontal="centerContinuous"/>
    </xf>
    <xf numFmtId="43" fontId="21" fillId="0" borderId="0" xfId="5" applyFont="1" applyAlignment="1"/>
    <xf numFmtId="43" fontId="21" fillId="0" borderId="27" xfId="5" applyFont="1" applyBorder="1" applyAlignment="1"/>
    <xf numFmtId="0" fontId="23" fillId="0" borderId="0" xfId="4" applyFont="1" applyAlignment="1"/>
    <xf numFmtId="3" fontId="23" fillId="0" borderId="12" xfId="4" applyNumberFormat="1" applyFont="1" applyBorder="1" applyAlignment="1">
      <alignment horizontal="center" wrapText="1"/>
    </xf>
    <xf numFmtId="4" fontId="23" fillId="0" borderId="12" xfId="4" applyNumberFormat="1" applyFont="1" applyBorder="1" applyAlignment="1">
      <alignment horizontal="right" wrapText="1"/>
    </xf>
    <xf numFmtId="4" fontId="23" fillId="0" borderId="12" xfId="4" applyNumberFormat="1" applyFont="1" applyBorder="1" applyAlignment="1"/>
    <xf numFmtId="4" fontId="23" fillId="0" borderId="5" xfId="4" applyNumberFormat="1" applyFont="1" applyBorder="1" applyAlignment="1">
      <alignment horizontal="right" wrapText="1"/>
    </xf>
    <xf numFmtId="4" fontId="23" fillId="0" borderId="5" xfId="4" applyNumberFormat="1" applyFont="1" applyBorder="1" applyAlignment="1"/>
    <xf numFmtId="171" fontId="23" fillId="0" borderId="0" xfId="4" applyNumberFormat="1" applyFont="1" applyAlignment="1">
      <alignment horizontal="right"/>
    </xf>
    <xf numFmtId="0" fontId="5" fillId="0" borderId="0" xfId="4" applyAlignment="1"/>
    <xf numFmtId="3" fontId="23" fillId="0" borderId="28" xfId="4" applyNumberFormat="1" applyFont="1" applyBorder="1" applyAlignment="1"/>
    <xf numFmtId="3" fontId="21" fillId="0" borderId="28" xfId="4" applyNumberFormat="1" applyFont="1" applyBorder="1" applyAlignment="1">
      <alignment horizontal="centerContinuous"/>
    </xf>
    <xf numFmtId="0" fontId="23" fillId="0" borderId="28" xfId="4" applyNumberFormat="1" applyFont="1" applyBorder="1" applyAlignment="1"/>
    <xf numFmtId="37" fontId="21" fillId="0" borderId="5" xfId="4" applyNumberFormat="1" applyFont="1" applyBorder="1" applyAlignment="1">
      <alignment horizontal="centerContinuous"/>
    </xf>
    <xf numFmtId="37" fontId="21" fillId="0" borderId="0" xfId="4" applyNumberFormat="1" applyFont="1" applyAlignment="1">
      <alignment horizontal="centerContinuous"/>
    </xf>
    <xf numFmtId="3" fontId="20" fillId="0" borderId="9" xfId="4" applyNumberFormat="1" applyFont="1" applyBorder="1" applyAlignment="1"/>
    <xf numFmtId="3" fontId="21" fillId="0" borderId="10" xfId="4" applyNumberFormat="1" applyFont="1" applyBorder="1" applyAlignment="1">
      <alignment horizontal="centerContinuous"/>
    </xf>
    <xf numFmtId="0" fontId="30" fillId="0" borderId="0" xfId="4" applyFont="1" applyAlignment="1">
      <alignment horizontal="right"/>
    </xf>
    <xf numFmtId="0" fontId="30" fillId="0" borderId="0" xfId="4" applyFont="1"/>
    <xf numFmtId="43" fontId="31" fillId="0" borderId="0" xfId="1" applyFont="1" applyBorder="1"/>
    <xf numFmtId="0" fontId="32" fillId="0" borderId="0" xfId="0" applyFont="1" applyAlignment="1">
      <alignment horizontal="centerContinuous"/>
    </xf>
    <xf numFmtId="0" fontId="23" fillId="0" borderId="0" xfId="0" applyFont="1" applyAlignment="1">
      <alignment horizontal="centerContinuous"/>
    </xf>
    <xf numFmtId="0" fontId="23" fillId="0" borderId="0" xfId="0" applyFont="1"/>
    <xf numFmtId="0" fontId="21" fillId="0" borderId="0" xfId="0" applyFont="1" applyAlignment="1">
      <alignment horizontal="centerContinuous"/>
    </xf>
    <xf numFmtId="0" fontId="27" fillId="0" borderId="0" xfId="0" applyFont="1" applyAlignment="1">
      <alignment horizontal="centerContinuous"/>
    </xf>
    <xf numFmtId="42" fontId="23" fillId="0" borderId="0" xfId="0" applyNumberFormat="1" applyFont="1"/>
    <xf numFmtId="3" fontId="23" fillId="0" borderId="0" xfId="0" applyNumberFormat="1" applyFont="1"/>
    <xf numFmtId="0" fontId="23" fillId="0" borderId="0" xfId="0" applyFont="1" applyBorder="1"/>
    <xf numFmtId="3" fontId="23" fillId="0" borderId="0" xfId="0" applyNumberFormat="1" applyFont="1" applyBorder="1"/>
    <xf numFmtId="0" fontId="27" fillId="0" borderId="0" xfId="0" applyFont="1"/>
    <xf numFmtId="0" fontId="33" fillId="0" borderId="0" xfId="0" applyFont="1" applyAlignment="1">
      <alignment horizontal="centerContinuous"/>
    </xf>
    <xf numFmtId="0" fontId="24" fillId="0" borderId="0" xfId="0" applyFont="1"/>
    <xf numFmtId="0" fontId="21" fillId="0" borderId="0" xfId="0" applyFont="1" applyBorder="1" applyAlignment="1">
      <alignment horizontal="centerContinuous"/>
    </xf>
    <xf numFmtId="0" fontId="20" fillId="0" borderId="0" xfId="0" applyFont="1"/>
    <xf numFmtId="0" fontId="23" fillId="0" borderId="0" xfId="0" applyFont="1" applyBorder="1" applyAlignment="1">
      <alignment horizontal="center"/>
    </xf>
    <xf numFmtId="43" fontId="23" fillId="0" borderId="0" xfId="1" applyFont="1" applyBorder="1"/>
    <xf numFmtId="0" fontId="27" fillId="0" borderId="0" xfId="0" applyFont="1" applyBorder="1"/>
    <xf numFmtId="0" fontId="24" fillId="0" borderId="0" xfId="0" applyFont="1" applyFill="1"/>
    <xf numFmtId="3" fontId="21" fillId="0" borderId="0" xfId="4" applyNumberFormat="1" applyFont="1" applyBorder="1" applyAlignment="1">
      <alignment horizontal="centerContinuous" wrapText="1"/>
    </xf>
    <xf numFmtId="43" fontId="23" fillId="0" borderId="0" xfId="1" applyFont="1"/>
    <xf numFmtId="10" fontId="23" fillId="0" borderId="0" xfId="3" applyNumberFormat="1" applyFont="1"/>
    <xf numFmtId="3" fontId="23" fillId="0" borderId="7" xfId="4" applyNumberFormat="1" applyFont="1" applyFill="1" applyBorder="1" applyAlignment="1">
      <alignment horizontal="right"/>
    </xf>
    <xf numFmtId="44" fontId="23" fillId="0" borderId="7" xfId="2" applyFont="1" applyBorder="1" applyAlignment="1">
      <alignment horizontal="right"/>
    </xf>
    <xf numFmtId="173" fontId="23" fillId="0" borderId="7" xfId="2" applyNumberFormat="1" applyFont="1" applyBorder="1" applyAlignment="1">
      <alignment horizontal="right"/>
    </xf>
    <xf numFmtId="173" fontId="21" fillId="0" borderId="19" xfId="2" applyNumberFormat="1" applyFont="1" applyBorder="1" applyAlignment="1">
      <alignment horizontal="right"/>
    </xf>
    <xf numFmtId="3" fontId="23" fillId="0" borderId="0" xfId="4" applyNumberFormat="1" applyFont="1" applyFill="1" applyAlignment="1"/>
    <xf numFmtId="3" fontId="23" fillId="0" borderId="5" xfId="4" applyNumberFormat="1" applyFont="1" applyFill="1" applyBorder="1" applyAlignment="1"/>
    <xf numFmtId="37" fontId="23" fillId="0" borderId="5" xfId="4" applyNumberFormat="1" applyFont="1" applyFill="1" applyBorder="1" applyAlignment="1"/>
    <xf numFmtId="37" fontId="23" fillId="0" borderId="0" xfId="4" applyNumberFormat="1" applyFont="1" applyFill="1" applyAlignment="1"/>
    <xf numFmtId="3" fontId="23" fillId="0" borderId="13" xfId="4" applyNumberFormat="1" applyFont="1" applyFill="1" applyBorder="1" applyAlignment="1"/>
    <xf numFmtId="3" fontId="23" fillId="0" borderId="0" xfId="4" applyNumberFormat="1" applyFont="1" applyFill="1" applyBorder="1" applyAlignment="1">
      <alignment horizontal="right"/>
    </xf>
    <xf numFmtId="3" fontId="34" fillId="0" borderId="0" xfId="4" applyNumberFormat="1" applyFont="1" applyFill="1" applyBorder="1" applyAlignment="1"/>
    <xf numFmtId="37" fontId="23" fillId="0" borderId="0" xfId="4" applyNumberFormat="1" applyFont="1" applyFill="1" applyAlignment="1">
      <alignment horizontal="right"/>
    </xf>
    <xf numFmtId="37" fontId="23" fillId="0" borderId="0" xfId="4" applyNumberFormat="1" applyFont="1" applyFill="1" applyBorder="1" applyAlignment="1"/>
    <xf numFmtId="0" fontId="5" fillId="0" borderId="0" xfId="4" applyNumberFormat="1" applyFont="1" applyFill="1" applyAlignment="1"/>
    <xf numFmtId="40" fontId="5" fillId="0" borderId="0" xfId="4" applyNumberFormat="1" applyFont="1" applyFill="1" applyAlignment="1"/>
    <xf numFmtId="4" fontId="5" fillId="0" borderId="0" xfId="4" applyNumberFormat="1" applyFont="1" applyFill="1" applyAlignment="1"/>
    <xf numFmtId="0" fontId="5" fillId="0" borderId="0" xfId="4" applyFont="1" applyFill="1"/>
    <xf numFmtId="3" fontId="20" fillId="0" borderId="3" xfId="4" applyNumberFormat="1" applyFont="1" applyBorder="1" applyAlignment="1"/>
    <xf numFmtId="3" fontId="24" fillId="0" borderId="0" xfId="4" applyNumberFormat="1" applyFont="1" applyBorder="1" applyAlignment="1"/>
    <xf numFmtId="167" fontId="25" fillId="0" borderId="0" xfId="5" applyNumberFormat="1" applyFont="1" applyBorder="1" applyAlignment="1"/>
    <xf numFmtId="3" fontId="21" fillId="0" borderId="31" xfId="4" applyNumberFormat="1" applyFont="1" applyBorder="1" applyAlignment="1"/>
    <xf numFmtId="3" fontId="21" fillId="0" borderId="32" xfId="4" applyNumberFormat="1" applyFont="1" applyBorder="1" applyAlignment="1">
      <alignment horizontal="centerContinuous" wrapText="1"/>
    </xf>
    <xf numFmtId="3" fontId="23" fillId="0" borderId="32" xfId="4" applyNumberFormat="1" applyFont="1" applyBorder="1" applyAlignment="1"/>
    <xf numFmtId="3" fontId="21" fillId="0" borderId="32" xfId="4" applyNumberFormat="1" applyFont="1" applyBorder="1" applyAlignment="1">
      <alignment horizontal="centerContinuous"/>
    </xf>
    <xf numFmtId="3" fontId="20" fillId="0" borderId="32" xfId="4" applyNumberFormat="1" applyFont="1" applyBorder="1" applyAlignment="1"/>
    <xf numFmtId="3" fontId="5" fillId="0" borderId="34" xfId="4" applyNumberFormat="1" applyFont="1" applyBorder="1" applyAlignment="1"/>
    <xf numFmtId="3" fontId="21" fillId="0" borderId="35" xfId="4" applyNumberFormat="1" applyFont="1" applyBorder="1" applyAlignment="1">
      <alignment horizontal="centerContinuous"/>
    </xf>
    <xf numFmtId="3" fontId="23" fillId="0" borderId="36" xfId="4" applyNumberFormat="1" applyFont="1" applyBorder="1" applyAlignment="1"/>
    <xf numFmtId="164" fontId="21" fillId="0" borderId="36" xfId="4" applyNumberFormat="1" applyFont="1" applyBorder="1" applyAlignment="1">
      <alignment horizontal="centerContinuous"/>
    </xf>
    <xf numFmtId="3" fontId="23" fillId="0" borderId="34" xfId="4" applyNumberFormat="1" applyFont="1" applyBorder="1" applyAlignment="1"/>
    <xf numFmtId="3" fontId="23" fillId="0" borderId="32" xfId="4" applyNumberFormat="1" applyFont="1" applyFill="1" applyBorder="1" applyAlignment="1"/>
    <xf numFmtId="3" fontId="4" fillId="0" borderId="36" xfId="4" applyNumberFormat="1" applyFont="1" applyBorder="1" applyAlignment="1">
      <alignment horizontal="centerContinuous"/>
    </xf>
    <xf numFmtId="0" fontId="24" fillId="0" borderId="0" xfId="0" applyFont="1" applyBorder="1"/>
    <xf numFmtId="0" fontId="20" fillId="0" borderId="0" xfId="0" applyFont="1" applyBorder="1"/>
    <xf numFmtId="5" fontId="24" fillId="0" borderId="0" xfId="2" applyNumberFormat="1" applyFont="1" applyBorder="1"/>
    <xf numFmtId="0" fontId="23" fillId="0" borderId="30" xfId="0" applyFont="1" applyBorder="1"/>
    <xf numFmtId="0" fontId="23" fillId="0" borderId="6" xfId="0" applyFont="1" applyBorder="1"/>
    <xf numFmtId="42" fontId="23" fillId="0" borderId="6" xfId="0" applyNumberFormat="1" applyFont="1" applyBorder="1"/>
    <xf numFmtId="3" fontId="23" fillId="0" borderId="6" xfId="0" applyNumberFormat="1" applyFont="1" applyBorder="1"/>
    <xf numFmtId="0" fontId="23" fillId="0" borderId="0" xfId="0" applyFont="1" applyFill="1" applyBorder="1" applyAlignment="1">
      <alignment horizontal="left" indent="1"/>
    </xf>
    <xf numFmtId="41" fontId="23" fillId="0" borderId="6" xfId="0" applyNumberFormat="1" applyFont="1" applyBorder="1"/>
    <xf numFmtId="0" fontId="23" fillId="0" borderId="0" xfId="0" applyFont="1" applyBorder="1" applyAlignment="1">
      <alignment horizontal="left" indent="1"/>
    </xf>
    <xf numFmtId="41" fontId="23" fillId="0" borderId="39" xfId="0" applyNumberFormat="1" applyFont="1" applyBorder="1"/>
    <xf numFmtId="0" fontId="27" fillId="0" borderId="30" xfId="0" applyFont="1" applyBorder="1"/>
    <xf numFmtId="0" fontId="27" fillId="0" borderId="40" xfId="0" applyFont="1" applyBorder="1"/>
    <xf numFmtId="0" fontId="23" fillId="0" borderId="2" xfId="0" applyFont="1" applyBorder="1"/>
    <xf numFmtId="42" fontId="27" fillId="0" borderId="41" xfId="0" applyNumberFormat="1" applyFont="1" applyBorder="1"/>
    <xf numFmtId="0" fontId="27" fillId="0" borderId="40" xfId="0" applyFont="1" applyBorder="1" applyAlignment="1">
      <alignment horizontal="centerContinuous"/>
    </xf>
    <xf numFmtId="0" fontId="23" fillId="0" borderId="2" xfId="0" applyFont="1" applyBorder="1" applyAlignment="1">
      <alignment horizontal="centerContinuous"/>
    </xf>
    <xf numFmtId="0" fontId="23" fillId="0" borderId="41" xfId="0" applyFont="1" applyBorder="1" applyAlignment="1">
      <alignment horizontal="centerContinuous"/>
    </xf>
    <xf numFmtId="0" fontId="27" fillId="0" borderId="2" xfId="0" applyFont="1" applyBorder="1"/>
    <xf numFmtId="3" fontId="23" fillId="0" borderId="41" xfId="0" applyNumberFormat="1" applyFont="1" applyBorder="1" applyAlignment="1">
      <alignment horizontal="centerContinuous"/>
    </xf>
    <xf numFmtId="167" fontId="23" fillId="0" borderId="6" xfId="1" applyNumberFormat="1" applyFont="1" applyBorder="1"/>
    <xf numFmtId="0" fontId="23" fillId="0" borderId="37" xfId="0" applyFont="1" applyBorder="1"/>
    <xf numFmtId="0" fontId="23" fillId="0" borderId="25" xfId="0" applyFont="1" applyBorder="1"/>
    <xf numFmtId="173" fontId="23" fillId="0" borderId="38" xfId="2" applyNumberFormat="1" applyFont="1" applyFill="1" applyBorder="1"/>
    <xf numFmtId="5" fontId="23" fillId="0" borderId="6" xfId="2" applyNumberFormat="1" applyFont="1" applyFill="1" applyBorder="1"/>
    <xf numFmtId="3" fontId="36" fillId="0" borderId="0" xfId="4" applyNumberFormat="1" applyFont="1" applyAlignment="1">
      <alignment horizontal="centerContinuous"/>
    </xf>
    <xf numFmtId="3" fontId="32" fillId="0" borderId="0" xfId="4" applyNumberFormat="1" applyFont="1" applyAlignment="1">
      <alignment horizontal="centerContinuous"/>
    </xf>
    <xf numFmtId="0" fontId="10" fillId="0" borderId="0" xfId="4" applyFont="1" applyFill="1" applyAlignment="1">
      <alignment horizontal="centerContinuous"/>
    </xf>
    <xf numFmtId="3" fontId="5" fillId="0" borderId="12" xfId="4" applyNumberFormat="1" applyFont="1" applyFill="1" applyBorder="1" applyAlignment="1"/>
    <xf numFmtId="3" fontId="5" fillId="0" borderId="11" xfId="4" applyNumberFormat="1" applyFont="1" applyFill="1" applyBorder="1" applyAlignment="1"/>
    <xf numFmtId="3" fontId="5" fillId="0" borderId="5" xfId="4" applyNumberFormat="1" applyFont="1" applyFill="1" applyBorder="1" applyAlignment="1"/>
    <xf numFmtId="0" fontId="5" fillId="0" borderId="6" xfId="4" applyNumberFormat="1" applyFont="1" applyFill="1" applyBorder="1" applyAlignment="1"/>
    <xf numFmtId="3" fontId="4" fillId="0" borderId="0" xfId="4" applyNumberFormat="1" applyFont="1" applyFill="1" applyBorder="1" applyAlignment="1">
      <alignment horizontal="centerContinuous"/>
    </xf>
    <xf numFmtId="0" fontId="5" fillId="0" borderId="0" xfId="4" applyNumberFormat="1" applyFont="1" applyFill="1" applyBorder="1" applyAlignment="1"/>
    <xf numFmtId="3" fontId="4" fillId="0" borderId="0" xfId="4" applyNumberFormat="1" applyFont="1" applyFill="1" applyAlignment="1">
      <alignment horizontal="centerContinuous"/>
    </xf>
    <xf numFmtId="3" fontId="4" fillId="0" borderId="7" xfId="4" applyNumberFormat="1" applyFont="1" applyFill="1" applyBorder="1" applyAlignment="1">
      <alignment horizontal="centerContinuous"/>
    </xf>
    <xf numFmtId="3" fontId="5" fillId="0" borderId="0" xfId="4" applyNumberFormat="1" applyFont="1" applyFill="1" applyBorder="1" applyAlignment="1"/>
    <xf numFmtId="3" fontId="4" fillId="0" borderId="11" xfId="4" applyNumberFormat="1" applyFont="1" applyFill="1" applyBorder="1" applyAlignment="1">
      <alignment horizontal="centerContinuous"/>
    </xf>
    <xf numFmtId="37" fontId="23" fillId="0" borderId="6" xfId="2" applyNumberFormat="1" applyFont="1" applyFill="1" applyBorder="1"/>
    <xf numFmtId="37" fontId="23" fillId="0" borderId="38" xfId="2" applyNumberFormat="1" applyFont="1" applyFill="1" applyBorder="1"/>
    <xf numFmtId="173" fontId="27" fillId="0" borderId="41" xfId="2" applyNumberFormat="1" applyFont="1" applyFill="1" applyBorder="1"/>
    <xf numFmtId="173" fontId="5" fillId="0" borderId="0" xfId="4" applyNumberFormat="1" applyFont="1" applyAlignment="1"/>
    <xf numFmtId="0" fontId="23" fillId="0" borderId="40" xfId="0" applyFont="1" applyBorder="1"/>
    <xf numFmtId="167" fontId="23" fillId="0" borderId="25" xfId="0" applyNumberFormat="1" applyFont="1" applyBorder="1"/>
    <xf numFmtId="167" fontId="23" fillId="0" borderId="0" xfId="1" applyNumberFormat="1" applyFont="1" applyBorder="1"/>
    <xf numFmtId="0" fontId="23" fillId="0" borderId="24" xfId="0" applyFont="1" applyBorder="1"/>
    <xf numFmtId="167" fontId="23" fillId="0" borderId="4" xfId="1" applyNumberFormat="1" applyFont="1" applyBorder="1"/>
    <xf numFmtId="167" fontId="23" fillId="0" borderId="7" xfId="0" applyNumberFormat="1" applyFont="1" applyBorder="1"/>
    <xf numFmtId="167" fontId="23" fillId="0" borderId="44" xfId="0" applyNumberFormat="1" applyFont="1" applyBorder="1"/>
    <xf numFmtId="0" fontId="23" fillId="0" borderId="42" xfId="0" applyFont="1" applyBorder="1"/>
    <xf numFmtId="0" fontId="23" fillId="0" borderId="42" xfId="0" applyFont="1" applyBorder="1" applyAlignment="1">
      <alignment horizontal="center" wrapText="1"/>
    </xf>
    <xf numFmtId="0" fontId="23" fillId="0" borderId="2" xfId="0" applyFont="1" applyBorder="1" applyAlignment="1">
      <alignment horizontal="center" wrapText="1"/>
    </xf>
    <xf numFmtId="0" fontId="21" fillId="0" borderId="0" xfId="0" applyFont="1" applyBorder="1" applyAlignment="1">
      <alignment horizontal="center"/>
    </xf>
    <xf numFmtId="0" fontId="21" fillId="0" borderId="0" xfId="0" applyFont="1" applyBorder="1" applyAlignment="1"/>
    <xf numFmtId="173" fontId="23" fillId="0" borderId="43" xfId="2" applyNumberFormat="1" applyFont="1" applyBorder="1"/>
    <xf numFmtId="173" fontId="23" fillId="0" borderId="43" xfId="0" applyNumberFormat="1" applyFont="1" applyBorder="1"/>
    <xf numFmtId="173" fontId="23" fillId="0" borderId="42" xfId="0" applyNumberFormat="1" applyFont="1" applyBorder="1"/>
    <xf numFmtId="0" fontId="5" fillId="5" borderId="7" xfId="4" applyNumberFormat="1" applyFont="1" applyFill="1" applyBorder="1" applyAlignment="1"/>
    <xf numFmtId="0" fontId="5" fillId="0" borderId="0" xfId="4" applyNumberFormat="1" applyFont="1" applyAlignment="1">
      <alignment horizontal="centerContinuous"/>
    </xf>
    <xf numFmtId="3" fontId="5" fillId="0" borderId="32" xfId="4" applyNumberFormat="1" applyFont="1" applyFill="1" applyBorder="1" applyAlignment="1"/>
    <xf numFmtId="3" fontId="5" fillId="0" borderId="7" xfId="4" applyNumberFormat="1" applyFont="1" applyBorder="1" applyAlignment="1"/>
    <xf numFmtId="0" fontId="5" fillId="5" borderId="30" xfId="4" applyNumberFormat="1" applyFont="1" applyFill="1" applyBorder="1" applyAlignment="1"/>
    <xf numFmtId="0" fontId="5" fillId="5" borderId="0" xfId="4" applyNumberFormat="1" applyFont="1" applyFill="1" applyBorder="1" applyAlignment="1"/>
    <xf numFmtId="0" fontId="22" fillId="0" borderId="0" xfId="4" applyNumberFormat="1" applyFont="1" applyFill="1" applyAlignment="1"/>
    <xf numFmtId="43" fontId="22" fillId="0" borderId="0" xfId="1" applyFont="1" applyAlignment="1"/>
    <xf numFmtId="43" fontId="22" fillId="0" borderId="0" xfId="1" applyFont="1" applyAlignment="1">
      <alignment wrapText="1"/>
    </xf>
    <xf numFmtId="43" fontId="5" fillId="0" borderId="0" xfId="1" applyFont="1" applyAlignment="1"/>
    <xf numFmtId="43" fontId="5" fillId="0" borderId="0" xfId="4" applyNumberFormat="1" applyFont="1"/>
    <xf numFmtId="0" fontId="22" fillId="0" borderId="0" xfId="4" applyNumberFormat="1" applyFont="1" applyFill="1" applyAlignment="1">
      <alignment horizontal="left"/>
    </xf>
    <xf numFmtId="0" fontId="22" fillId="0" borderId="0" xfId="4" applyNumberFormat="1" applyFont="1" applyFill="1" applyAlignment="1">
      <alignment wrapText="1"/>
    </xf>
    <xf numFmtId="168" fontId="5" fillId="0" borderId="0" xfId="4" applyNumberFormat="1" applyFont="1" applyFill="1" applyAlignment="1"/>
    <xf numFmtId="3" fontId="38" fillId="0" borderId="0" xfId="4" applyNumberFormat="1" applyFont="1" applyAlignment="1">
      <alignment horizontal="centerContinuous"/>
    </xf>
    <xf numFmtId="3" fontId="39" fillId="0" borderId="0" xfId="4" applyNumberFormat="1" applyFont="1" applyAlignment="1">
      <alignment horizontal="centerContinuous"/>
    </xf>
    <xf numFmtId="0" fontId="39" fillId="0" borderId="0" xfId="4" applyNumberFormat="1" applyFont="1" applyAlignment="1">
      <alignment horizontal="centerContinuous"/>
    </xf>
    <xf numFmtId="3" fontId="40" fillId="0" borderId="0" xfId="4" applyNumberFormat="1" applyFont="1" applyAlignment="1">
      <alignment horizontal="centerContinuous"/>
    </xf>
    <xf numFmtId="0" fontId="10" fillId="0" borderId="0" xfId="4" applyNumberFormat="1" applyFont="1" applyAlignment="1">
      <alignment horizontal="centerContinuous"/>
    </xf>
    <xf numFmtId="3" fontId="41" fillId="0" borderId="0" xfId="4" applyNumberFormat="1" applyFont="1" applyAlignment="1">
      <alignment horizontal="centerContinuous"/>
    </xf>
    <xf numFmtId="3" fontId="42" fillId="0" borderId="0" xfId="4" applyNumberFormat="1" applyFont="1" applyAlignment="1">
      <alignment horizontal="centerContinuous"/>
    </xf>
    <xf numFmtId="3" fontId="15" fillId="0" borderId="0" xfId="4" applyNumberFormat="1" applyFont="1" applyAlignment="1">
      <alignment horizontal="centerContinuous"/>
    </xf>
    <xf numFmtId="0" fontId="15" fillId="0" borderId="0" xfId="4" applyNumberFormat="1" applyFont="1" applyAlignment="1">
      <alignment horizontal="centerContinuous"/>
    </xf>
    <xf numFmtId="3" fontId="43" fillId="0" borderId="0" xfId="4" applyNumberFormat="1" applyFont="1" applyAlignment="1">
      <alignment horizontal="centerContinuous"/>
    </xf>
    <xf numFmtId="3" fontId="19" fillId="0" borderId="0" xfId="4" applyNumberFormat="1" applyFont="1" applyAlignment="1">
      <alignment horizontal="centerContinuous"/>
    </xf>
    <xf numFmtId="0" fontId="19" fillId="0" borderId="0" xfId="4" applyNumberFormat="1" applyFont="1" applyAlignment="1">
      <alignment horizontal="centerContinuous"/>
    </xf>
    <xf numFmtId="3" fontId="44" fillId="0" borderId="0" xfId="4" applyNumberFormat="1" applyFont="1" applyAlignment="1">
      <alignment horizontal="centerContinuous"/>
    </xf>
    <xf numFmtId="3" fontId="45" fillId="0" borderId="0" xfId="4" applyNumberFormat="1" applyFont="1" applyAlignment="1">
      <alignment horizontal="centerContinuous"/>
    </xf>
    <xf numFmtId="3" fontId="22" fillId="0" borderId="0" xfId="4" applyNumberFormat="1" applyFont="1" applyAlignment="1">
      <alignment horizontal="centerContinuous"/>
    </xf>
    <xf numFmtId="0" fontId="22" fillId="0" borderId="0" xfId="4" applyNumberFormat="1" applyFont="1" applyAlignment="1">
      <alignment horizontal="centerContinuous"/>
    </xf>
    <xf numFmtId="3" fontId="45" fillId="0" borderId="0" xfId="4" applyNumberFormat="1" applyFont="1" applyFill="1" applyAlignment="1">
      <alignment horizontal="centerContinuous"/>
    </xf>
    <xf numFmtId="3" fontId="22" fillId="0" borderId="0" xfId="4" applyNumberFormat="1" applyFont="1" applyFill="1" applyAlignment="1">
      <alignment horizontal="centerContinuous"/>
    </xf>
    <xf numFmtId="0" fontId="22" fillId="0" borderId="0" xfId="4" applyNumberFormat="1" applyFont="1" applyFill="1" applyAlignment="1">
      <alignment horizontal="centerContinuous"/>
    </xf>
    <xf numFmtId="3" fontId="46" fillId="0" borderId="0" xfId="4" applyNumberFormat="1" applyFont="1" applyFill="1" applyAlignment="1">
      <alignment horizontal="centerContinuous"/>
    </xf>
    <xf numFmtId="3" fontId="5" fillId="0" borderId="3" xfId="4" applyNumberFormat="1" applyFont="1" applyFill="1" applyBorder="1" applyAlignment="1"/>
    <xf numFmtId="3" fontId="4" fillId="0" borderId="3" xfId="4" applyNumberFormat="1" applyFont="1" applyFill="1" applyBorder="1" applyAlignment="1">
      <alignment horizontal="centerContinuous"/>
    </xf>
    <xf numFmtId="0" fontId="5" fillId="0" borderId="3" xfId="4" applyNumberFormat="1" applyFont="1" applyFill="1" applyBorder="1" applyAlignment="1"/>
    <xf numFmtId="3" fontId="4" fillId="0" borderId="28" xfId="4" applyNumberFormat="1" applyFont="1" applyFill="1" applyBorder="1" applyAlignment="1">
      <alignment horizontal="centerContinuous"/>
    </xf>
    <xf numFmtId="3" fontId="4" fillId="6" borderId="0" xfId="4" applyNumberFormat="1" applyFont="1" applyFill="1" applyBorder="1" applyAlignment="1"/>
    <xf numFmtId="3" fontId="4" fillId="6" borderId="5" xfId="4" applyNumberFormat="1" applyFont="1" applyFill="1" applyBorder="1" applyAlignment="1"/>
    <xf numFmtId="3" fontId="4" fillId="6" borderId="5" xfId="4" applyNumberFormat="1" applyFont="1" applyFill="1" applyBorder="1" applyAlignment="1">
      <alignment horizontal="center"/>
    </xf>
    <xf numFmtId="0" fontId="4" fillId="6" borderId="6" xfId="4" applyNumberFormat="1" applyFont="1" applyFill="1" applyBorder="1" applyAlignment="1">
      <alignment horizontal="center"/>
    </xf>
    <xf numFmtId="3" fontId="4" fillId="6" borderId="0" xfId="4" applyNumberFormat="1" applyFont="1" applyFill="1" applyBorder="1" applyAlignment="1">
      <alignment horizontal="center"/>
    </xf>
    <xf numFmtId="0" fontId="4" fillId="6" borderId="0" xfId="4" applyNumberFormat="1" applyFont="1" applyFill="1" applyBorder="1" applyAlignment="1">
      <alignment horizontal="center"/>
    </xf>
    <xf numFmtId="0" fontId="4" fillId="5" borderId="53" xfId="4" applyNumberFormat="1" applyFont="1" applyFill="1" applyBorder="1" applyAlignment="1">
      <alignment horizontal="center"/>
    </xf>
    <xf numFmtId="0" fontId="4" fillId="5" borderId="46" xfId="4" applyNumberFormat="1" applyFont="1" applyFill="1" applyBorder="1" applyAlignment="1">
      <alignment horizontal="center"/>
    </xf>
    <xf numFmtId="3" fontId="4" fillId="6" borderId="0" xfId="4" applyNumberFormat="1" applyFont="1" applyFill="1" applyBorder="1" applyAlignment="1">
      <alignment horizontal="centerContinuous" wrapText="1"/>
    </xf>
    <xf numFmtId="3" fontId="4" fillId="6" borderId="0" xfId="4" applyNumberFormat="1" applyFont="1" applyFill="1" applyAlignment="1">
      <alignment horizontal="centerContinuous" wrapText="1"/>
    </xf>
    <xf numFmtId="3" fontId="4" fillId="6" borderId="5" xfId="4" applyNumberFormat="1" applyFont="1" applyFill="1" applyBorder="1" applyAlignment="1">
      <alignment horizontal="centerContinuous" wrapText="1"/>
    </xf>
    <xf numFmtId="3" fontId="4" fillId="6" borderId="8" xfId="4" applyNumberFormat="1" applyFont="1" applyFill="1" applyBorder="1" applyAlignment="1">
      <alignment horizontal="center"/>
    </xf>
    <xf numFmtId="3" fontId="4" fillId="6" borderId="9" xfId="4" applyNumberFormat="1" applyFont="1" applyFill="1" applyBorder="1" applyAlignment="1">
      <alignment horizontal="center" wrapText="1"/>
    </xf>
    <xf numFmtId="3" fontId="4" fillId="6" borderId="3" xfId="4" applyNumberFormat="1" applyFont="1" applyFill="1" applyBorder="1" applyAlignment="1">
      <alignment horizontal="center"/>
    </xf>
    <xf numFmtId="3" fontId="4" fillId="6" borderId="3" xfId="4" applyNumberFormat="1" applyFont="1" applyFill="1" applyBorder="1" applyAlignment="1">
      <alignment horizontal="center" wrapText="1"/>
    </xf>
    <xf numFmtId="3" fontId="4" fillId="5" borderId="30" xfId="4" applyNumberFormat="1" applyFont="1" applyFill="1" applyBorder="1" applyAlignment="1">
      <alignment horizontal="center" wrapText="1"/>
    </xf>
    <xf numFmtId="3" fontId="4" fillId="5" borderId="7" xfId="4" applyNumberFormat="1" applyFont="1" applyFill="1" applyBorder="1" applyAlignment="1">
      <alignment horizontal="center" wrapText="1"/>
    </xf>
    <xf numFmtId="3" fontId="5" fillId="0" borderId="44" xfId="4" applyNumberFormat="1" applyFont="1" applyBorder="1" applyAlignment="1"/>
    <xf numFmtId="164" fontId="5" fillId="0" borderId="0" xfId="4" applyNumberFormat="1" applyFont="1" applyBorder="1" applyAlignment="1"/>
    <xf numFmtId="164" fontId="5" fillId="0" borderId="0" xfId="4" applyNumberFormat="1" applyFont="1" applyAlignment="1"/>
    <xf numFmtId="164" fontId="5" fillId="0" borderId="5" xfId="4" applyNumberFormat="1" applyFont="1" applyBorder="1" applyAlignment="1"/>
    <xf numFmtId="165" fontId="5" fillId="0" borderId="5" xfId="4" applyNumberFormat="1" applyFont="1" applyBorder="1" applyAlignment="1"/>
    <xf numFmtId="165" fontId="5" fillId="0" borderId="0" xfId="4" applyNumberFormat="1" applyFont="1" applyAlignment="1"/>
    <xf numFmtId="164" fontId="5" fillId="0" borderId="6" xfId="4" applyNumberFormat="1" applyFont="1" applyBorder="1" applyAlignment="1"/>
    <xf numFmtId="164" fontId="5" fillId="0" borderId="0" xfId="4" applyNumberFormat="1" applyFont="1" applyBorder="1" applyAlignment="1">
      <alignment horizontal="right"/>
    </xf>
    <xf numFmtId="164" fontId="5" fillId="0" borderId="0" xfId="4" applyNumberFormat="1" applyFont="1" applyAlignment="1">
      <alignment horizontal="right"/>
    </xf>
    <xf numFmtId="164" fontId="5" fillId="5" borderId="30" xfId="4" applyNumberFormat="1" applyFont="1" applyFill="1" applyBorder="1" applyAlignment="1"/>
    <xf numFmtId="173" fontId="5" fillId="0" borderId="44" xfId="2" applyNumberFormat="1" applyFont="1" applyBorder="1" applyAlignment="1">
      <alignment horizontal="right"/>
    </xf>
    <xf numFmtId="173" fontId="5" fillId="0" borderId="44" xfId="2" applyNumberFormat="1" applyFont="1" applyFill="1" applyBorder="1" applyAlignment="1">
      <alignment horizontal="right"/>
    </xf>
    <xf numFmtId="164" fontId="5" fillId="5" borderId="0" xfId="4" applyNumberFormat="1" applyFont="1" applyFill="1" applyBorder="1" applyAlignment="1"/>
    <xf numFmtId="3" fontId="47" fillId="0" borderId="7" xfId="4" applyNumberFormat="1" applyFont="1" applyBorder="1" applyAlignment="1">
      <alignment horizontal="left" indent="1"/>
    </xf>
    <xf numFmtId="167" fontId="47" fillId="0" borderId="7" xfId="1" applyNumberFormat="1" applyFont="1" applyBorder="1" applyAlignment="1">
      <alignment horizontal="right"/>
    </xf>
    <xf numFmtId="167" fontId="47" fillId="0" borderId="7" xfId="1" applyNumberFormat="1" applyFont="1" applyFill="1" applyBorder="1" applyAlignment="1">
      <alignment horizontal="right"/>
    </xf>
    <xf numFmtId="3" fontId="5" fillId="0" borderId="42" xfId="4" applyNumberFormat="1" applyFont="1" applyBorder="1" applyAlignment="1"/>
    <xf numFmtId="167" fontId="5" fillId="0" borderId="42" xfId="1" applyNumberFormat="1" applyFont="1" applyBorder="1" applyAlignment="1">
      <alignment horizontal="right"/>
    </xf>
    <xf numFmtId="164" fontId="5" fillId="5" borderId="7" xfId="4" applyNumberFormat="1" applyFont="1" applyFill="1" applyBorder="1" applyAlignment="1"/>
    <xf numFmtId="3" fontId="6" fillId="5" borderId="30" xfId="4" applyNumberFormat="1" applyFont="1" applyFill="1" applyBorder="1" applyAlignment="1"/>
    <xf numFmtId="3" fontId="6" fillId="5" borderId="0" xfId="4" applyNumberFormat="1" applyFont="1" applyFill="1" applyBorder="1" applyAlignment="1"/>
    <xf numFmtId="164" fontId="4" fillId="6" borderId="12" xfId="4" applyNumberFormat="1" applyFont="1" applyFill="1" applyBorder="1" applyAlignment="1">
      <alignment horizontal="centerContinuous"/>
    </xf>
    <xf numFmtId="164" fontId="4" fillId="6" borderId="11" xfId="4" applyNumberFormat="1" applyFont="1" applyFill="1" applyBorder="1" applyAlignment="1">
      <alignment horizontal="centerContinuous"/>
    </xf>
    <xf numFmtId="164" fontId="4" fillId="6" borderId="15" xfId="4" applyNumberFormat="1" applyFont="1" applyFill="1" applyBorder="1" applyAlignment="1">
      <alignment horizontal="right"/>
    </xf>
    <xf numFmtId="164" fontId="4" fillId="6" borderId="16" xfId="4" applyNumberFormat="1" applyFont="1" applyFill="1" applyBorder="1" applyAlignment="1">
      <alignment horizontal="right"/>
    </xf>
    <xf numFmtId="165" fontId="4" fillId="6" borderId="15" xfId="4" applyNumberFormat="1" applyFont="1" applyFill="1" applyBorder="1" applyAlignment="1">
      <alignment horizontal="right"/>
    </xf>
    <xf numFmtId="165" fontId="4" fillId="6" borderId="16" xfId="4" applyNumberFormat="1" applyFont="1" applyFill="1" applyBorder="1" applyAlignment="1">
      <alignment horizontal="right"/>
    </xf>
    <xf numFmtId="164" fontId="4" fillId="6" borderId="17" xfId="4" applyNumberFormat="1" applyFont="1" applyFill="1" applyBorder="1" applyAlignment="1">
      <alignment horizontal="right"/>
    </xf>
    <xf numFmtId="164" fontId="4" fillId="6" borderId="18" xfId="4" applyNumberFormat="1" applyFont="1" applyFill="1" applyBorder="1" applyAlignment="1">
      <alignment horizontal="right"/>
    </xf>
    <xf numFmtId="164" fontId="4" fillId="5" borderId="47" xfId="4" applyNumberFormat="1" applyFont="1" applyFill="1" applyBorder="1" applyAlignment="1">
      <alignment horizontal="right"/>
    </xf>
    <xf numFmtId="40" fontId="5" fillId="0" borderId="0" xfId="4" applyNumberFormat="1" applyFont="1"/>
    <xf numFmtId="0" fontId="22" fillId="0" borderId="0" xfId="4" applyNumberFormat="1" applyFont="1" applyFill="1" applyBorder="1" applyAlignment="1">
      <alignment horizontal="centerContinuous"/>
    </xf>
    <xf numFmtId="3" fontId="5" fillId="0" borderId="0" xfId="4" applyNumberFormat="1" applyFont="1" applyFill="1" applyAlignment="1"/>
    <xf numFmtId="0" fontId="5" fillId="0" borderId="28" xfId="4" applyNumberFormat="1" applyFont="1" applyFill="1" applyBorder="1" applyAlignment="1"/>
    <xf numFmtId="0" fontId="5" fillId="0" borderId="20" xfId="4" applyNumberFormat="1" applyFont="1" applyBorder="1" applyAlignment="1"/>
    <xf numFmtId="0" fontId="5" fillId="0" borderId="1" xfId="4" applyNumberFormat="1" applyFont="1" applyBorder="1" applyAlignment="1"/>
    <xf numFmtId="164" fontId="5" fillId="0" borderId="0" xfId="4" applyNumberFormat="1" applyFont="1" applyFill="1" applyBorder="1" applyAlignment="1"/>
    <xf numFmtId="164" fontId="5" fillId="0" borderId="0" xfId="4" applyNumberFormat="1" applyFont="1" applyFill="1" applyBorder="1" applyAlignment="1">
      <alignment horizontal="right"/>
    </xf>
    <xf numFmtId="164" fontId="5" fillId="0" borderId="6" xfId="4" applyNumberFormat="1" applyFont="1" applyFill="1" applyBorder="1" applyAlignment="1"/>
    <xf numFmtId="164" fontId="5" fillId="0" borderId="0" xfId="4" applyNumberFormat="1" applyFont="1" applyFill="1" applyAlignment="1">
      <alignment horizontal="right"/>
    </xf>
    <xf numFmtId="37" fontId="5" fillId="0" borderId="0" xfId="5" applyNumberFormat="1" applyFont="1" applyFill="1" applyAlignment="1">
      <alignment horizontal="right"/>
    </xf>
    <xf numFmtId="37" fontId="5" fillId="0" borderId="0" xfId="5" applyNumberFormat="1" applyFont="1" applyFill="1" applyBorder="1" applyAlignment="1"/>
    <xf numFmtId="3" fontId="5" fillId="0" borderId="0" xfId="4" applyNumberFormat="1" applyFont="1" applyAlignment="1"/>
    <xf numFmtId="37" fontId="5" fillId="0" borderId="5" xfId="4" applyNumberFormat="1" applyFont="1" applyBorder="1" applyAlignment="1"/>
    <xf numFmtId="37" fontId="5" fillId="0" borderId="0" xfId="4" applyNumberFormat="1" applyFont="1" applyAlignment="1"/>
    <xf numFmtId="3" fontId="5" fillId="0" borderId="6" xfId="4" applyNumberFormat="1" applyFont="1" applyBorder="1" applyAlignment="1"/>
    <xf numFmtId="3" fontId="5" fillId="0" borderId="0" xfId="4" applyNumberFormat="1" applyFont="1" applyBorder="1" applyAlignment="1">
      <alignment horizontal="right"/>
    </xf>
    <xf numFmtId="164" fontId="5" fillId="0" borderId="6" xfId="4" applyNumberFormat="1" applyFont="1" applyBorder="1"/>
    <xf numFmtId="37" fontId="5" fillId="0" borderId="0" xfId="4" applyNumberFormat="1" applyFont="1" applyAlignment="1">
      <alignment horizontal="right"/>
    </xf>
    <xf numFmtId="37" fontId="5" fillId="0" borderId="0" xfId="4" applyNumberFormat="1" applyFont="1" applyBorder="1" applyAlignment="1"/>
    <xf numFmtId="3" fontId="5" fillId="5" borderId="7" xfId="4" applyNumberFormat="1" applyFont="1" applyFill="1" applyBorder="1" applyAlignment="1"/>
    <xf numFmtId="3" fontId="5" fillId="0" borderId="42" xfId="4" applyNumberFormat="1" applyFont="1" applyFill="1" applyBorder="1" applyAlignment="1">
      <alignment horizontal="left" indent="1"/>
    </xf>
    <xf numFmtId="37" fontId="5" fillId="0" borderId="5" xfId="4" applyNumberFormat="1" applyFont="1" applyFill="1" applyBorder="1" applyAlignment="1"/>
    <xf numFmtId="3" fontId="5" fillId="0" borderId="6" xfId="4" applyNumberFormat="1" applyFont="1" applyFill="1" applyBorder="1" applyAlignment="1"/>
    <xf numFmtId="3" fontId="5" fillId="0" borderId="0" xfId="4" applyNumberFormat="1" applyFont="1" applyFill="1" applyBorder="1" applyAlignment="1">
      <alignment horizontal="right"/>
    </xf>
    <xf numFmtId="167" fontId="5" fillId="0" borderId="42" xfId="1" applyNumberFormat="1" applyFont="1" applyFill="1" applyBorder="1" applyAlignment="1">
      <alignment horizontal="right"/>
    </xf>
    <xf numFmtId="3" fontId="47" fillId="0" borderId="0" xfId="4" applyNumberFormat="1" applyFont="1" applyFill="1" applyBorder="1" applyAlignment="1"/>
    <xf numFmtId="164" fontId="5" fillId="0" borderId="0" xfId="4" applyNumberFormat="1" applyFont="1" applyFill="1" applyAlignment="1"/>
    <xf numFmtId="0" fontId="5" fillId="0" borderId="0" xfId="4" applyFont="1" applyFill="1" applyBorder="1"/>
    <xf numFmtId="3" fontId="3" fillId="0" borderId="0" xfId="4" applyNumberFormat="1" applyFont="1" applyFill="1" applyAlignment="1"/>
    <xf numFmtId="3" fontId="3" fillId="0" borderId="0" xfId="0" applyNumberFormat="1" applyFont="1" applyFill="1" applyBorder="1" applyAlignment="1"/>
    <xf numFmtId="3" fontId="5" fillId="0" borderId="0" xfId="0" applyNumberFormat="1" applyFont="1" applyFill="1" applyBorder="1" applyAlignment="1"/>
    <xf numFmtId="0" fontId="5" fillId="0" borderId="0" xfId="0" applyNumberFormat="1" applyFont="1" applyFill="1" applyBorder="1" applyAlignment="1"/>
    <xf numFmtId="3" fontId="4" fillId="0" borderId="0" xfId="0" applyNumberFormat="1" applyFont="1" applyFill="1" applyBorder="1" applyAlignment="1">
      <alignment horizontal="centerContinuous"/>
    </xf>
    <xf numFmtId="0" fontId="3" fillId="0" borderId="0" xfId="4" applyNumberFormat="1" applyFont="1" applyFill="1" applyBorder="1" applyAlignment="1"/>
    <xf numFmtId="0" fontId="3" fillId="0" borderId="0" xfId="4" applyNumberFormat="1" applyFont="1" applyFill="1" applyBorder="1"/>
    <xf numFmtId="0" fontId="26" fillId="0" borderId="0" xfId="4" applyNumberFormat="1" applyFont="1" applyFill="1" applyBorder="1" applyAlignment="1"/>
    <xf numFmtId="37" fontId="26" fillId="0" borderId="0" xfId="4" applyNumberFormat="1" applyFont="1" applyFill="1" applyBorder="1" applyAlignment="1"/>
    <xf numFmtId="0" fontId="26" fillId="0" borderId="0" xfId="4" applyNumberFormat="1" applyFont="1" applyBorder="1" applyAlignment="1"/>
    <xf numFmtId="0" fontId="26" fillId="0" borderId="0" xfId="4" applyNumberFormat="1" applyFont="1" applyBorder="1"/>
    <xf numFmtId="167" fontId="26" fillId="0" borderId="0" xfId="5" applyNumberFormat="1" applyFont="1" applyFill="1" applyBorder="1" applyAlignment="1"/>
    <xf numFmtId="0" fontId="5" fillId="0" borderId="0" xfId="4" applyFont="1" applyBorder="1"/>
    <xf numFmtId="0" fontId="3" fillId="0" borderId="24" xfId="4" applyNumberFormat="1" applyFont="1" applyBorder="1" applyAlignment="1"/>
    <xf numFmtId="0" fontId="3" fillId="0" borderId="4" xfId="4" applyNumberFormat="1" applyFont="1" applyBorder="1" applyAlignment="1"/>
    <xf numFmtId="0" fontId="3" fillId="0" borderId="0" xfId="4" applyNumberFormat="1" applyFont="1" applyBorder="1" applyAlignment="1"/>
    <xf numFmtId="0" fontId="3" fillId="0" borderId="0" xfId="4" applyNumberFormat="1" applyFont="1" applyBorder="1"/>
    <xf numFmtId="0" fontId="26" fillId="0" borderId="0" xfId="4" applyNumberFormat="1" applyFont="1" applyFill="1" applyBorder="1" applyAlignment="1">
      <alignment wrapText="1"/>
    </xf>
    <xf numFmtId="167" fontId="26" fillId="0" borderId="0" xfId="1" applyNumberFormat="1" applyFont="1" applyBorder="1" applyAlignment="1"/>
    <xf numFmtId="43" fontId="26" fillId="0" borderId="0" xfId="5" applyFont="1" applyBorder="1" applyAlignment="1"/>
    <xf numFmtId="0" fontId="31" fillId="0" borderId="0" xfId="4" applyFont="1"/>
    <xf numFmtId="167" fontId="26" fillId="0" borderId="0" xfId="1" applyNumberFormat="1" applyFont="1" applyFill="1" applyBorder="1" applyAlignment="1"/>
    <xf numFmtId="164" fontId="26" fillId="0" borderId="0" xfId="4" applyNumberFormat="1" applyFont="1"/>
    <xf numFmtId="3" fontId="5" fillId="0" borderId="0" xfId="4" applyNumberFormat="1" applyFont="1" applyBorder="1"/>
    <xf numFmtId="3" fontId="5" fillId="0" borderId="0" xfId="4" applyNumberFormat="1" applyFont="1"/>
    <xf numFmtId="4" fontId="5" fillId="0" borderId="0" xfId="4" applyNumberFormat="1" applyFont="1"/>
    <xf numFmtId="170" fontId="4" fillId="0" borderId="0" xfId="4" applyNumberFormat="1" applyFont="1" applyAlignment="1">
      <alignment horizontal="right"/>
    </xf>
    <xf numFmtId="3" fontId="4" fillId="0" borderId="0" xfId="4" applyNumberFormat="1" applyFont="1" applyAlignment="1">
      <alignment horizontal="center"/>
    </xf>
    <xf numFmtId="3" fontId="22" fillId="0" borderId="0" xfId="4" applyNumberFormat="1" applyFont="1" applyAlignment="1">
      <alignment horizontal="right"/>
    </xf>
    <xf numFmtId="3" fontId="22" fillId="2" borderId="0" xfId="4" applyNumberFormat="1" applyFont="1" applyFill="1" applyAlignment="1">
      <alignment horizontal="right"/>
    </xf>
    <xf numFmtId="40" fontId="5" fillId="0" borderId="25" xfId="4" applyNumberFormat="1" applyFont="1" applyBorder="1" applyAlignment="1"/>
    <xf numFmtId="40" fontId="5" fillId="0" borderId="26" xfId="4" applyNumberFormat="1" applyFont="1" applyBorder="1" applyAlignment="1"/>
    <xf numFmtId="40" fontId="5" fillId="0" borderId="27" xfId="4" applyNumberFormat="1" applyFont="1" applyBorder="1" applyAlignment="1"/>
    <xf numFmtId="3" fontId="22" fillId="0" borderId="27" xfId="4" applyNumberFormat="1" applyFont="1" applyBorder="1" applyAlignment="1"/>
    <xf numFmtId="3" fontId="22" fillId="0" borderId="0" xfId="4" applyNumberFormat="1" applyFont="1" applyBorder="1" applyAlignment="1"/>
    <xf numFmtId="3" fontId="22" fillId="0" borderId="0" xfId="4" applyNumberFormat="1" applyFont="1" applyAlignment="1"/>
    <xf numFmtId="40" fontId="6" fillId="0" borderId="0" xfId="4" applyNumberFormat="1" applyFont="1" applyAlignment="1"/>
    <xf numFmtId="3" fontId="4" fillId="0" borderId="0" xfId="4" applyNumberFormat="1" applyFont="1" applyAlignment="1"/>
    <xf numFmtId="43" fontId="5" fillId="0" borderId="0" xfId="5" applyFont="1" applyAlignment="1"/>
    <xf numFmtId="43" fontId="5" fillId="0" borderId="0" xfId="5" applyFont="1" applyBorder="1"/>
    <xf numFmtId="43" fontId="5" fillId="0" borderId="0" xfId="5" applyFont="1" applyBorder="1" applyAlignment="1"/>
    <xf numFmtId="43" fontId="5" fillId="3" borderId="0" xfId="5" applyFont="1" applyFill="1" applyBorder="1" applyAlignment="1"/>
    <xf numFmtId="43" fontId="5" fillId="0" borderId="27" xfId="5" applyFont="1" applyBorder="1" applyAlignment="1"/>
    <xf numFmtId="43" fontId="4" fillId="0" borderId="0" xfId="5" applyFont="1" applyAlignment="1">
      <alignment horizontal="centerContinuous"/>
    </xf>
    <xf numFmtId="43" fontId="4" fillId="0" borderId="0" xfId="5" applyFont="1" applyAlignment="1"/>
    <xf numFmtId="43" fontId="4" fillId="0" borderId="27" xfId="5" applyFont="1" applyBorder="1" applyAlignment="1"/>
    <xf numFmtId="43" fontId="4" fillId="0" borderId="0" xfId="5" applyFont="1" applyBorder="1" applyAlignment="1"/>
    <xf numFmtId="0" fontId="5" fillId="0" borderId="0" xfId="4" applyFont="1" applyAlignment="1"/>
    <xf numFmtId="3" fontId="5" fillId="0" borderId="12" xfId="4" applyNumberFormat="1" applyFont="1" applyBorder="1" applyAlignment="1">
      <alignment horizontal="center" wrapText="1"/>
    </xf>
    <xf numFmtId="3" fontId="5" fillId="0" borderId="0" xfId="4" applyNumberFormat="1" applyFont="1" applyAlignment="1">
      <alignment horizontal="right"/>
    </xf>
    <xf numFmtId="4" fontId="5" fillId="0" borderId="12" xfId="4" applyNumberFormat="1" applyFont="1" applyBorder="1" applyAlignment="1">
      <alignment horizontal="right" wrapText="1"/>
    </xf>
    <xf numFmtId="4" fontId="5" fillId="0" borderId="12" xfId="4" applyNumberFormat="1" applyFont="1" applyBorder="1" applyAlignment="1"/>
    <xf numFmtId="4" fontId="5" fillId="0" borderId="5" xfId="4" applyNumberFormat="1" applyFont="1" applyBorder="1" applyAlignment="1">
      <alignment horizontal="right" wrapText="1"/>
    </xf>
    <xf numFmtId="4" fontId="5" fillId="0" borderId="5" xfId="4" applyNumberFormat="1" applyFont="1" applyBorder="1" applyAlignment="1"/>
    <xf numFmtId="171" fontId="5" fillId="0" borderId="0" xfId="4" applyNumberFormat="1" applyFont="1" applyAlignment="1">
      <alignment horizontal="right"/>
    </xf>
    <xf numFmtId="3" fontId="5" fillId="0" borderId="0" xfId="4" applyNumberFormat="1" applyFont="1" applyAlignment="1">
      <alignment horizontal="centerContinuous"/>
    </xf>
    <xf numFmtId="3" fontId="46" fillId="0" borderId="0" xfId="4" applyNumberFormat="1" applyFont="1" applyAlignment="1">
      <alignment horizontal="centerContinuous"/>
    </xf>
    <xf numFmtId="3" fontId="5" fillId="0" borderId="3" xfId="4" applyNumberFormat="1" applyFont="1" applyBorder="1" applyAlignment="1"/>
    <xf numFmtId="3" fontId="4" fillId="0" borderId="3" xfId="4" applyNumberFormat="1" applyFont="1" applyBorder="1" applyAlignment="1">
      <alignment horizontal="centerContinuous"/>
    </xf>
    <xf numFmtId="0" fontId="5" fillId="0" borderId="3" xfId="4" applyNumberFormat="1" applyFont="1" applyBorder="1" applyAlignment="1"/>
    <xf numFmtId="3" fontId="4" fillId="0" borderId="28" xfId="4" applyNumberFormat="1" applyFont="1" applyBorder="1" applyAlignment="1">
      <alignment horizontal="centerContinuous"/>
    </xf>
    <xf numFmtId="173" fontId="5" fillId="0" borderId="42" xfId="2" applyNumberFormat="1" applyFont="1" applyBorder="1" applyAlignment="1">
      <alignment horizontal="right"/>
    </xf>
    <xf numFmtId="173" fontId="5" fillId="0" borderId="42" xfId="2" applyNumberFormat="1" applyFont="1" applyFill="1" applyBorder="1" applyAlignment="1">
      <alignment horizontal="right"/>
    </xf>
    <xf numFmtId="0" fontId="26" fillId="0" borderId="0" xfId="4" applyNumberFormat="1" applyFont="1" applyFill="1" applyBorder="1"/>
    <xf numFmtId="0" fontId="3" fillId="0" borderId="24" xfId="4" applyNumberFormat="1" applyFont="1" applyFill="1" applyBorder="1" applyAlignment="1"/>
    <xf numFmtId="0" fontId="3" fillId="0" borderId="4" xfId="4" applyNumberFormat="1" applyFont="1" applyFill="1" applyBorder="1" applyAlignment="1"/>
    <xf numFmtId="3" fontId="4" fillId="7" borderId="29" xfId="4" applyNumberFormat="1" applyFont="1" applyFill="1" applyBorder="1" applyAlignment="1">
      <alignment horizontal="center"/>
    </xf>
    <xf numFmtId="3" fontId="4" fillId="7" borderId="10" xfId="4" applyNumberFormat="1" applyFont="1" applyFill="1" applyBorder="1" applyAlignment="1">
      <alignment horizontal="center" wrapText="1"/>
    </xf>
    <xf numFmtId="3" fontId="4" fillId="7" borderId="52" xfId="4" applyNumberFormat="1" applyFont="1" applyFill="1" applyBorder="1" applyAlignment="1">
      <alignment horizontal="center"/>
    </xf>
    <xf numFmtId="173" fontId="4" fillId="7" borderId="49" xfId="2" applyNumberFormat="1" applyFont="1" applyFill="1" applyBorder="1" applyAlignment="1">
      <alignment horizontal="right"/>
    </xf>
    <xf numFmtId="3" fontId="4" fillId="7" borderId="48" xfId="4" applyNumberFormat="1" applyFont="1" applyFill="1" applyBorder="1" applyAlignment="1">
      <alignment horizontal="left"/>
    </xf>
    <xf numFmtId="3" fontId="4" fillId="7" borderId="7" xfId="4" applyNumberFormat="1" applyFont="1" applyFill="1" applyBorder="1" applyAlignment="1">
      <alignment horizontal="center"/>
    </xf>
    <xf numFmtId="3" fontId="4" fillId="0" borderId="9" xfId="4" applyNumberFormat="1" applyFont="1" applyFill="1" applyBorder="1" applyAlignment="1">
      <alignment horizontal="center" wrapText="1"/>
    </xf>
    <xf numFmtId="3" fontId="22" fillId="0" borderId="6" xfId="4" applyNumberFormat="1" applyFont="1" applyFill="1" applyBorder="1" applyAlignment="1"/>
    <xf numFmtId="3" fontId="22" fillId="5" borderId="10" xfId="4" applyNumberFormat="1" applyFont="1" applyFill="1" applyBorder="1" applyAlignment="1"/>
    <xf numFmtId="3" fontId="5" fillId="0" borderId="42" xfId="4" applyNumberFormat="1" applyFont="1" applyFill="1" applyBorder="1" applyAlignment="1"/>
    <xf numFmtId="3" fontId="5" fillId="0" borderId="1" xfId="4" applyNumberFormat="1" applyFont="1" applyFill="1" applyBorder="1" applyAlignment="1"/>
    <xf numFmtId="3" fontId="3" fillId="0" borderId="0" xfId="4" applyNumberFormat="1" applyFont="1" applyAlignment="1"/>
    <xf numFmtId="37" fontId="26" fillId="0" borderId="0" xfId="4" applyNumberFormat="1" applyFont="1" applyBorder="1" applyAlignment="1"/>
    <xf numFmtId="3" fontId="5" fillId="0" borderId="0" xfId="4" applyNumberFormat="1" applyFont="1" applyFill="1" applyAlignment="1">
      <alignment horizontal="centerContinuous"/>
    </xf>
    <xf numFmtId="0" fontId="5" fillId="0" borderId="0" xfId="4" applyNumberFormat="1" applyFont="1" applyFill="1" applyAlignment="1">
      <alignment horizontal="centerContinuous"/>
    </xf>
    <xf numFmtId="0" fontId="5" fillId="4" borderId="0" xfId="4" applyNumberFormat="1" applyFont="1" applyFill="1" applyAlignment="1">
      <alignment horizontal="left"/>
    </xf>
    <xf numFmtId="40" fontId="5" fillId="4" borderId="0" xfId="4" applyNumberFormat="1" applyFont="1" applyFill="1" applyAlignment="1"/>
    <xf numFmtId="167" fontId="5" fillId="0" borderId="0" xfId="4" applyNumberFormat="1" applyFont="1"/>
    <xf numFmtId="44" fontId="26" fillId="0" borderId="0" xfId="4" applyNumberFormat="1" applyFont="1"/>
    <xf numFmtId="0" fontId="2" fillId="0" borderId="0" xfId="10"/>
    <xf numFmtId="0" fontId="2" fillId="0" borderId="4" xfId="10" applyBorder="1" applyAlignment="1">
      <alignment horizontal="center"/>
    </xf>
    <xf numFmtId="43" fontId="0" fillId="0" borderId="4" xfId="11" applyFont="1" applyBorder="1" applyAlignment="1">
      <alignment horizontal="center"/>
    </xf>
    <xf numFmtId="44" fontId="0" fillId="0" borderId="0" xfId="12" applyFont="1"/>
    <xf numFmtId="43" fontId="0" fillId="0" borderId="4" xfId="11" applyFont="1" applyBorder="1"/>
    <xf numFmtId="43" fontId="0" fillId="0" borderId="0" xfId="11" applyFont="1"/>
    <xf numFmtId="0" fontId="2" fillId="0" borderId="0" xfId="10" applyBorder="1"/>
    <xf numFmtId="43" fontId="0" fillId="0" borderId="0" xfId="11" applyFont="1" applyBorder="1"/>
    <xf numFmtId="0" fontId="1" fillId="0" borderId="4" xfId="10" applyFont="1" applyBorder="1"/>
    <xf numFmtId="3" fontId="5" fillId="0" borderId="28" xfId="4" applyNumberFormat="1" applyFont="1" applyFill="1" applyBorder="1" applyAlignment="1"/>
    <xf numFmtId="3" fontId="38" fillId="0" borderId="0" xfId="4" applyNumberFormat="1" applyFont="1" applyFill="1" applyAlignment="1">
      <alignment horizontal="centerContinuous"/>
    </xf>
    <xf numFmtId="3" fontId="39" fillId="0" borderId="0" xfId="4" applyNumberFormat="1" applyFont="1" applyFill="1" applyAlignment="1">
      <alignment horizontal="centerContinuous"/>
    </xf>
    <xf numFmtId="0" fontId="39" fillId="0" borderId="0" xfId="4" applyNumberFormat="1" applyFont="1" applyFill="1" applyAlignment="1">
      <alignment horizontal="centerContinuous"/>
    </xf>
    <xf numFmtId="3" fontId="40" fillId="0" borderId="0" xfId="4" applyNumberFormat="1" applyFont="1" applyFill="1" applyAlignment="1">
      <alignment horizontal="centerContinuous"/>
    </xf>
    <xf numFmtId="0" fontId="10" fillId="0" borderId="0" xfId="4" applyNumberFormat="1" applyFont="1" applyFill="1" applyAlignment="1">
      <alignment horizontal="centerContinuous"/>
    </xf>
    <xf numFmtId="3" fontId="41" fillId="0" borderId="0" xfId="4" applyNumberFormat="1" applyFont="1" applyFill="1" applyAlignment="1">
      <alignment horizontal="centerContinuous"/>
    </xf>
    <xf numFmtId="3" fontId="42" fillId="0" borderId="0" xfId="4" applyNumberFormat="1" applyFont="1" applyFill="1" applyAlignment="1">
      <alignment horizontal="centerContinuous"/>
    </xf>
    <xf numFmtId="3" fontId="15" fillId="0" borderId="0" xfId="4" applyNumberFormat="1" applyFont="1" applyFill="1" applyAlignment="1">
      <alignment horizontal="centerContinuous"/>
    </xf>
    <xf numFmtId="0" fontId="15" fillId="0" borderId="0" xfId="4" applyNumberFormat="1" applyFont="1" applyFill="1" applyAlignment="1">
      <alignment horizontal="centerContinuous"/>
    </xf>
    <xf numFmtId="3" fontId="43" fillId="0" borderId="0" xfId="4" applyNumberFormat="1" applyFont="1" applyFill="1" applyAlignment="1">
      <alignment horizontal="centerContinuous"/>
    </xf>
    <xf numFmtId="3" fontId="19" fillId="0" borderId="0" xfId="4" applyNumberFormat="1" applyFont="1" applyFill="1" applyAlignment="1">
      <alignment horizontal="centerContinuous"/>
    </xf>
    <xf numFmtId="0" fontId="19" fillId="0" borderId="0" xfId="4" applyNumberFormat="1" applyFont="1" applyFill="1" applyAlignment="1">
      <alignment horizontal="centerContinuous"/>
    </xf>
    <xf numFmtId="3" fontId="44" fillId="0" borderId="0" xfId="4" applyNumberFormat="1" applyFont="1" applyFill="1" applyAlignment="1">
      <alignment horizontal="centerContinuous"/>
    </xf>
    <xf numFmtId="3" fontId="4" fillId="6" borderId="31" xfId="4" applyNumberFormat="1" applyFont="1" applyFill="1" applyBorder="1" applyAlignment="1"/>
    <xf numFmtId="3" fontId="4" fillId="0" borderId="5" xfId="4" applyNumberFormat="1" applyFont="1" applyFill="1" applyBorder="1" applyAlignment="1"/>
    <xf numFmtId="3" fontId="4" fillId="0" borderId="0" xfId="4" applyNumberFormat="1" applyFont="1" applyFill="1" applyBorder="1" applyAlignment="1"/>
    <xf numFmtId="3" fontId="4" fillId="0" borderId="5" xfId="4" applyNumberFormat="1" applyFont="1" applyFill="1" applyBorder="1" applyAlignment="1">
      <alignment horizontal="center"/>
    </xf>
    <xf numFmtId="0" fontId="4" fillId="0" borderId="6" xfId="4" applyNumberFormat="1" applyFont="1" applyFill="1" applyBorder="1" applyAlignment="1">
      <alignment horizontal="center"/>
    </xf>
    <xf numFmtId="3" fontId="4" fillId="0" borderId="0" xfId="4" applyNumberFormat="1" applyFont="1" applyFill="1" applyBorder="1" applyAlignment="1">
      <alignment horizontal="center"/>
    </xf>
    <xf numFmtId="0" fontId="4" fillId="0" borderId="0" xfId="4" applyNumberFormat="1" applyFont="1" applyFill="1" applyBorder="1" applyAlignment="1">
      <alignment horizontal="center"/>
    </xf>
    <xf numFmtId="3" fontId="4" fillId="6" borderId="7" xfId="4" applyNumberFormat="1" applyFont="1" applyFill="1" applyBorder="1" applyAlignment="1">
      <alignment horizontal="center"/>
    </xf>
    <xf numFmtId="3" fontId="4" fillId="6" borderId="51" xfId="4" applyNumberFormat="1" applyFont="1" applyFill="1" applyBorder="1" applyAlignment="1">
      <alignment horizontal="centerContinuous" wrapText="1"/>
    </xf>
    <xf numFmtId="3" fontId="4" fillId="0" borderId="5" xfId="4" applyNumberFormat="1" applyFont="1" applyFill="1" applyBorder="1" applyAlignment="1">
      <alignment horizontal="centerContinuous" wrapText="1"/>
    </xf>
    <xf numFmtId="3" fontId="4" fillId="0" borderId="0" xfId="4" applyNumberFormat="1" applyFont="1" applyFill="1" applyAlignment="1">
      <alignment horizontal="centerContinuous" wrapText="1"/>
    </xf>
    <xf numFmtId="3" fontId="4" fillId="0" borderId="8" xfId="4" applyNumberFormat="1" applyFont="1" applyFill="1" applyBorder="1" applyAlignment="1">
      <alignment horizontal="center"/>
    </xf>
    <xf numFmtId="3" fontId="4" fillId="0" borderId="28" xfId="4" applyNumberFormat="1" applyFont="1" applyFill="1" applyBorder="1" applyAlignment="1">
      <alignment horizontal="center"/>
    </xf>
    <xf numFmtId="3" fontId="4" fillId="0" borderId="28" xfId="4" applyNumberFormat="1" applyFont="1" applyFill="1" applyBorder="1" applyAlignment="1">
      <alignment horizontal="center" wrapText="1"/>
    </xf>
    <xf numFmtId="3" fontId="4" fillId="6" borderId="10" xfId="4" applyNumberFormat="1" applyFont="1" applyFill="1" applyBorder="1" applyAlignment="1">
      <alignment horizontal="center" wrapText="1"/>
    </xf>
    <xf numFmtId="164" fontId="5" fillId="0" borderId="5" xfId="4" applyNumberFormat="1" applyFont="1" applyFill="1" applyBorder="1" applyAlignment="1"/>
    <xf numFmtId="165" fontId="5" fillId="0" borderId="5" xfId="4" applyNumberFormat="1" applyFont="1" applyFill="1" applyBorder="1" applyAlignment="1"/>
    <xf numFmtId="165" fontId="5" fillId="0" borderId="0" xfId="4" applyNumberFormat="1" applyFont="1" applyFill="1" applyAlignment="1"/>
    <xf numFmtId="164" fontId="5" fillId="5" borderId="6" xfId="4" applyNumberFormat="1" applyFont="1" applyFill="1" applyBorder="1" applyAlignment="1"/>
    <xf numFmtId="3" fontId="5" fillId="0" borderId="0" xfId="4" applyNumberFormat="1" applyFont="1" applyFill="1" applyAlignment="1">
      <alignment horizontal="right"/>
    </xf>
    <xf numFmtId="43" fontId="5" fillId="0" borderId="42" xfId="1" applyFont="1" applyFill="1" applyBorder="1" applyAlignment="1">
      <alignment horizontal="right"/>
    </xf>
    <xf numFmtId="3" fontId="4" fillId="0" borderId="32" xfId="4" applyNumberFormat="1" applyFont="1" applyFill="1" applyBorder="1" applyAlignment="1">
      <alignment horizontal="centerContinuous"/>
    </xf>
    <xf numFmtId="3" fontId="4" fillId="0" borderId="5" xfId="4" applyNumberFormat="1" applyFont="1" applyFill="1" applyBorder="1" applyAlignment="1">
      <alignment horizontal="centerContinuous"/>
    </xf>
    <xf numFmtId="3" fontId="4" fillId="0" borderId="13" xfId="4" applyNumberFormat="1" applyFont="1" applyFill="1" applyBorder="1" applyAlignment="1">
      <alignment horizontal="centerContinuous"/>
    </xf>
    <xf numFmtId="3" fontId="4" fillId="0" borderId="14" xfId="4" applyNumberFormat="1" applyFont="1" applyFill="1" applyBorder="1" applyAlignment="1">
      <alignment horizontal="centerContinuous"/>
    </xf>
    <xf numFmtId="3" fontId="22" fillId="0" borderId="3" xfId="4" applyNumberFormat="1" applyFont="1" applyFill="1" applyBorder="1" applyAlignment="1">
      <alignment horizontal="right"/>
    </xf>
    <xf numFmtId="3" fontId="22" fillId="0" borderId="0" xfId="4" applyNumberFormat="1" applyFont="1" applyFill="1" applyBorder="1" applyAlignment="1"/>
    <xf numFmtId="3" fontId="22" fillId="0" borderId="10" xfId="4" applyNumberFormat="1" applyFont="1" applyFill="1" applyBorder="1" applyAlignment="1">
      <alignment horizontal="right"/>
    </xf>
    <xf numFmtId="3" fontId="4" fillId="6" borderId="33" xfId="4" applyNumberFormat="1" applyFont="1" applyFill="1" applyBorder="1" applyAlignment="1">
      <alignment horizontal="left"/>
    </xf>
    <xf numFmtId="164" fontId="4" fillId="0" borderId="12" xfId="4" applyNumberFormat="1" applyFont="1" applyFill="1" applyBorder="1" applyAlignment="1">
      <alignment horizontal="centerContinuous"/>
    </xf>
    <xf numFmtId="164" fontId="4" fillId="0" borderId="11" xfId="4" applyNumberFormat="1" applyFont="1" applyFill="1" applyBorder="1" applyAlignment="1">
      <alignment horizontal="centerContinuous"/>
    </xf>
    <xf numFmtId="164" fontId="4" fillId="0" borderId="15" xfId="4" applyNumberFormat="1" applyFont="1" applyFill="1" applyBorder="1" applyAlignment="1">
      <alignment horizontal="right"/>
    </xf>
    <xf numFmtId="164" fontId="4" fillId="0" borderId="16" xfId="4" applyNumberFormat="1" applyFont="1" applyFill="1" applyBorder="1" applyAlignment="1">
      <alignment horizontal="right"/>
    </xf>
    <xf numFmtId="165" fontId="4" fillId="0" borderId="15" xfId="4" applyNumberFormat="1" applyFont="1" applyFill="1" applyBorder="1" applyAlignment="1">
      <alignment horizontal="right"/>
    </xf>
    <xf numFmtId="165" fontId="4" fillId="0" borderId="16" xfId="4" applyNumberFormat="1" applyFont="1" applyFill="1" applyBorder="1" applyAlignment="1">
      <alignment horizontal="right"/>
    </xf>
    <xf numFmtId="164" fontId="4" fillId="0" borderId="17" xfId="4" applyNumberFormat="1" applyFont="1" applyFill="1" applyBorder="1" applyAlignment="1">
      <alignment horizontal="right"/>
    </xf>
    <xf numFmtId="164" fontId="4" fillId="0" borderId="18" xfId="4" applyNumberFormat="1" applyFont="1" applyFill="1" applyBorder="1" applyAlignment="1">
      <alignment horizontal="right"/>
    </xf>
    <xf numFmtId="164" fontId="5" fillId="5" borderId="10" xfId="4" applyNumberFormat="1" applyFont="1" applyFill="1" applyBorder="1" applyAlignment="1"/>
    <xf numFmtId="173" fontId="4" fillId="6" borderId="19" xfId="2" applyNumberFormat="1" applyFont="1" applyFill="1" applyBorder="1" applyAlignment="1">
      <alignment horizontal="right"/>
    </xf>
    <xf numFmtId="3" fontId="6" fillId="0" borderId="0" xfId="4" applyNumberFormat="1" applyFont="1" applyFill="1" applyBorder="1" applyAlignment="1">
      <alignment horizontal="centerContinuous"/>
    </xf>
    <xf numFmtId="3" fontId="6" fillId="0" borderId="0" xfId="4" applyNumberFormat="1" applyFont="1" applyFill="1" applyBorder="1" applyAlignment="1"/>
    <xf numFmtId="3" fontId="6" fillId="5" borderId="52" xfId="4" applyNumberFormat="1" applyFont="1" applyFill="1" applyBorder="1" applyAlignment="1"/>
    <xf numFmtId="3" fontId="4" fillId="0" borderId="0" xfId="4" applyNumberFormat="1" applyFont="1" applyFill="1" applyBorder="1" applyAlignment="1">
      <alignment horizontal="centerContinuous" wrapText="1"/>
    </xf>
    <xf numFmtId="0" fontId="5" fillId="0" borderId="20" xfId="4" applyNumberFormat="1" applyFont="1" applyFill="1" applyBorder="1" applyAlignment="1"/>
    <xf numFmtId="0" fontId="5" fillId="0" borderId="1" xfId="4" applyNumberFormat="1" applyFont="1" applyFill="1" applyBorder="1" applyAlignment="1"/>
    <xf numFmtId="44" fontId="5" fillId="0" borderId="42" xfId="2" applyFont="1" applyFill="1" applyBorder="1" applyAlignment="1">
      <alignment horizontal="right"/>
    </xf>
    <xf numFmtId="3" fontId="22" fillId="0" borderId="32" xfId="4" applyNumberFormat="1" applyFont="1" applyFill="1" applyBorder="1" applyAlignment="1"/>
    <xf numFmtId="37" fontId="4" fillId="0" borderId="5" xfId="4" applyNumberFormat="1" applyFont="1" applyFill="1" applyBorder="1" applyAlignment="1">
      <alignment horizontal="centerContinuous"/>
    </xf>
    <xf numFmtId="37" fontId="4" fillId="0" borderId="0" xfId="4" applyNumberFormat="1" applyFont="1" applyFill="1" applyAlignment="1">
      <alignment horizontal="centerContinuous"/>
    </xf>
    <xf numFmtId="3" fontId="22" fillId="0" borderId="9" xfId="4" applyNumberFormat="1" applyFont="1" applyFill="1" applyBorder="1" applyAlignment="1"/>
    <xf numFmtId="3" fontId="22" fillId="0" borderId="28" xfId="4" applyNumberFormat="1" applyFont="1" applyFill="1" applyBorder="1" applyAlignment="1"/>
    <xf numFmtId="3" fontId="4" fillId="0" borderId="10" xfId="4" applyNumberFormat="1" applyFont="1" applyFill="1" applyBorder="1" applyAlignment="1">
      <alignment horizontal="centerContinuous"/>
    </xf>
    <xf numFmtId="164" fontId="4" fillId="0" borderId="12" xfId="4" applyNumberFormat="1" applyFont="1" applyFill="1" applyBorder="1" applyAlignment="1"/>
    <xf numFmtId="164" fontId="4" fillId="0" borderId="11" xfId="4" applyNumberFormat="1" applyFont="1" applyFill="1" applyBorder="1" applyAlignment="1"/>
    <xf numFmtId="169" fontId="4" fillId="0" borderId="12" xfId="4" applyNumberFormat="1" applyFont="1" applyFill="1" applyBorder="1" applyAlignment="1"/>
    <xf numFmtId="169" fontId="4" fillId="0" borderId="11" xfId="4" applyNumberFormat="1" applyFont="1" applyFill="1" applyBorder="1" applyAlignment="1"/>
    <xf numFmtId="164" fontId="4" fillId="0" borderId="15" xfId="4" applyNumberFormat="1" applyFont="1" applyFill="1" applyBorder="1" applyAlignment="1"/>
    <xf numFmtId="164" fontId="4" fillId="0" borderId="21" xfId="4" applyNumberFormat="1" applyFont="1" applyFill="1" applyBorder="1" applyAlignment="1"/>
    <xf numFmtId="164" fontId="4" fillId="0" borderId="16" xfId="4" applyNumberFormat="1" applyFont="1" applyFill="1" applyBorder="1" applyAlignment="1"/>
    <xf numFmtId="164" fontId="4" fillId="0" borderId="22" xfId="4" applyNumberFormat="1" applyFont="1" applyFill="1" applyBorder="1" applyAlignment="1"/>
    <xf numFmtId="164" fontId="4" fillId="0" borderId="23" xfId="4" applyNumberFormat="1" applyFont="1" applyFill="1" applyBorder="1" applyAlignment="1"/>
    <xf numFmtId="3" fontId="6" fillId="5" borderId="10" xfId="4" applyNumberFormat="1" applyFont="1" applyFill="1" applyBorder="1" applyAlignment="1"/>
    <xf numFmtId="0" fontId="4" fillId="0" borderId="0" xfId="4" applyNumberFormat="1" applyFont="1" applyFill="1" applyBorder="1" applyAlignment="1"/>
    <xf numFmtId="172" fontId="4" fillId="4" borderId="0" xfId="4" applyNumberFormat="1" applyFont="1" applyFill="1" applyAlignment="1">
      <alignment horizontal="right"/>
    </xf>
    <xf numFmtId="172" fontId="22" fillId="0" borderId="0" xfId="4" applyNumberFormat="1" applyFont="1" applyAlignment="1">
      <alignment horizontal="right"/>
    </xf>
    <xf numFmtId="172" fontId="4" fillId="0" borderId="0" xfId="4" applyNumberFormat="1" applyFont="1" applyAlignment="1">
      <alignment horizontal="right"/>
    </xf>
    <xf numFmtId="3" fontId="3" fillId="0" borderId="0" xfId="0" applyNumberFormat="1" applyFont="1" applyBorder="1" applyAlignment="1"/>
    <xf numFmtId="3" fontId="5" fillId="0" borderId="0" xfId="0" applyNumberFormat="1" applyFont="1" applyBorder="1" applyAlignment="1"/>
    <xf numFmtId="0" fontId="5" fillId="0" borderId="0" xfId="0" applyNumberFormat="1" applyFont="1" applyBorder="1" applyAlignment="1"/>
    <xf numFmtId="3" fontId="4" fillId="0" borderId="0" xfId="0" applyNumberFormat="1" applyFont="1" applyBorder="1" applyAlignment="1">
      <alignment horizontal="centerContinuous"/>
    </xf>
    <xf numFmtId="41" fontId="4" fillId="0" borderId="0" xfId="4" applyNumberFormat="1" applyFont="1" applyBorder="1" applyAlignment="1">
      <alignment horizontal="centerContinuous"/>
    </xf>
    <xf numFmtId="164" fontId="4" fillId="0" borderId="0" xfId="4" applyNumberFormat="1" applyFont="1" applyFill="1" applyBorder="1" applyAlignment="1">
      <alignment horizontal="right"/>
    </xf>
    <xf numFmtId="3" fontId="50" fillId="8" borderId="29" xfId="4" applyNumberFormat="1" applyFont="1" applyFill="1" applyBorder="1" applyAlignment="1">
      <alignment horizontal="center"/>
    </xf>
    <xf numFmtId="3" fontId="50" fillId="8" borderId="10" xfId="4" applyNumberFormat="1" applyFont="1" applyFill="1" applyBorder="1" applyAlignment="1">
      <alignment horizontal="center" wrapText="1"/>
    </xf>
    <xf numFmtId="3" fontId="50" fillId="8" borderId="52" xfId="4" applyNumberFormat="1" applyFont="1" applyFill="1" applyBorder="1" applyAlignment="1">
      <alignment horizontal="center"/>
    </xf>
    <xf numFmtId="3" fontId="50" fillId="8" borderId="48" xfId="4" applyNumberFormat="1" applyFont="1" applyFill="1" applyBorder="1" applyAlignment="1">
      <alignment horizontal="left"/>
    </xf>
    <xf numFmtId="173" fontId="50" fillId="8" borderId="49" xfId="2" applyNumberFormat="1" applyFont="1" applyFill="1" applyBorder="1" applyAlignment="1">
      <alignment horizontal="right"/>
    </xf>
    <xf numFmtId="3" fontId="50" fillId="8" borderId="7" xfId="4" applyNumberFormat="1" applyFont="1" applyFill="1" applyBorder="1" applyAlignment="1">
      <alignment horizontal="center"/>
    </xf>
    <xf numFmtId="3" fontId="50" fillId="8" borderId="45" xfId="4" applyNumberFormat="1" applyFont="1" applyFill="1" applyBorder="1" applyAlignment="1">
      <alignment horizontal="left"/>
    </xf>
    <xf numFmtId="173" fontId="50" fillId="8" borderId="45" xfId="2" applyNumberFormat="1" applyFont="1" applyFill="1" applyBorder="1" applyAlignment="1">
      <alignment horizontal="right"/>
    </xf>
    <xf numFmtId="3" fontId="51" fillId="9" borderId="42" xfId="4" applyNumberFormat="1" applyFont="1" applyFill="1" applyBorder="1" applyAlignment="1"/>
    <xf numFmtId="173" fontId="51" fillId="9" borderId="42" xfId="2" applyNumberFormat="1" applyFont="1" applyFill="1" applyBorder="1" applyAlignment="1">
      <alignment horizontal="right"/>
    </xf>
    <xf numFmtId="167" fontId="6" fillId="10" borderId="42" xfId="1" applyNumberFormat="1" applyFont="1" applyFill="1" applyBorder="1" applyAlignment="1">
      <alignment horizontal="right"/>
    </xf>
    <xf numFmtId="3" fontId="6" fillId="10" borderId="42" xfId="4" applyNumberFormat="1" applyFont="1" applyFill="1" applyBorder="1" applyAlignment="1"/>
    <xf numFmtId="0" fontId="22" fillId="0" borderId="0" xfId="4" applyFont="1" applyFill="1" applyAlignment="1">
      <alignment horizontal="left"/>
    </xf>
    <xf numFmtId="0" fontId="24" fillId="0" borderId="0" xfId="0" applyFont="1" applyAlignment="1">
      <alignment horizontal="left" wrapText="1"/>
    </xf>
    <xf numFmtId="0" fontId="7" fillId="0" borderId="0" xfId="0" applyFont="1" applyAlignment="1">
      <alignment horizontal="center"/>
    </xf>
    <xf numFmtId="0" fontId="13" fillId="0" borderId="0" xfId="0" applyFont="1" applyBorder="1" applyAlignment="1">
      <alignment horizontal="center"/>
    </xf>
    <xf numFmtId="0" fontId="36" fillId="0" borderId="0" xfId="0" applyFont="1" applyBorder="1" applyAlignment="1">
      <alignment horizontal="center"/>
    </xf>
    <xf numFmtId="0" fontId="32" fillId="0" borderId="0" xfId="0" applyFont="1" applyBorder="1" applyAlignment="1">
      <alignment horizontal="center"/>
    </xf>
    <xf numFmtId="3" fontId="50" fillId="8" borderId="53" xfId="4" applyNumberFormat="1" applyFont="1" applyFill="1" applyBorder="1" applyAlignment="1">
      <alignment horizontal="center" vertical="center" wrapText="1"/>
    </xf>
    <xf numFmtId="3" fontId="50" fillId="8" borderId="55" xfId="4" applyNumberFormat="1" applyFont="1" applyFill="1" applyBorder="1" applyAlignment="1">
      <alignment horizontal="center" vertical="center" wrapText="1"/>
    </xf>
    <xf numFmtId="3" fontId="4" fillId="7" borderId="54" xfId="4" applyNumberFormat="1" applyFont="1" applyFill="1" applyBorder="1" applyAlignment="1">
      <alignment horizontal="center" vertical="center" wrapText="1"/>
    </xf>
    <xf numFmtId="3" fontId="4" fillId="7" borderId="50" xfId="4" applyNumberFormat="1" applyFont="1" applyFill="1" applyBorder="1" applyAlignment="1">
      <alignment horizontal="center" vertical="center" wrapText="1"/>
    </xf>
    <xf numFmtId="3" fontId="4" fillId="7" borderId="53" xfId="4" applyNumberFormat="1" applyFont="1" applyFill="1" applyBorder="1" applyAlignment="1">
      <alignment horizontal="center" vertical="center" wrapText="1"/>
    </xf>
    <xf numFmtId="3" fontId="4" fillId="7" borderId="55" xfId="4" applyNumberFormat="1" applyFont="1" applyFill="1" applyBorder="1" applyAlignment="1">
      <alignment horizontal="center" vertical="center" wrapText="1"/>
    </xf>
    <xf numFmtId="0" fontId="49" fillId="0" borderId="0" xfId="10" applyFont="1" applyAlignment="1">
      <alignment horizontal="center"/>
    </xf>
    <xf numFmtId="0" fontId="48" fillId="0" borderId="0" xfId="10" applyFont="1" applyAlignment="1">
      <alignment horizontal="center"/>
    </xf>
  </cellXfs>
  <cellStyles count="13">
    <cellStyle name="Comma" xfId="1" builtinId="3"/>
    <cellStyle name="Comma 2" xfId="5" xr:uid="{00000000-0005-0000-0000-000001000000}"/>
    <cellStyle name="Comma 3" xfId="6" xr:uid="{00000000-0005-0000-0000-000002000000}"/>
    <cellStyle name="Comma 4" xfId="11" xr:uid="{3E5E9B33-DBE7-47E0-8639-83B9AD949718}"/>
    <cellStyle name="Currency" xfId="2" builtinId="4"/>
    <cellStyle name="Currency 2" xfId="7" xr:uid="{00000000-0005-0000-0000-000004000000}"/>
    <cellStyle name="Currency 2 2" xfId="8" xr:uid="{00000000-0005-0000-0000-000005000000}"/>
    <cellStyle name="Currency 3" xfId="12" xr:uid="{F726FBCA-1632-43FE-9167-003B10FA9171}"/>
    <cellStyle name="Normal" xfId="0" builtinId="0"/>
    <cellStyle name="Normal 2" xfId="4" xr:uid="{00000000-0005-0000-0000-000007000000}"/>
    <cellStyle name="Normal 3" xfId="10" xr:uid="{D874B484-4DAC-4B14-AD57-8F1E736DA162}"/>
    <cellStyle name="Percent" xfId="3" builtinId="5"/>
    <cellStyle name="Percent 3" xfId="9" xr:uid="{00000000-0005-0000-0000-000009000000}"/>
  </cellStyles>
  <dxfs count="0"/>
  <tableStyles count="0" defaultTableStyle="TableStyleMedium9" defaultPivotStyle="PivotStyleLight16"/>
  <colors>
    <mruColors>
      <color rgb="FF1C456A"/>
      <color rgb="FF2E70AC"/>
      <color rgb="FF9BC2E5"/>
      <color rgb="FFB9D4ED"/>
      <color rgb="FFB8D18B"/>
      <color rgb="FF91BCE3"/>
      <color rgb="FF8FB64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my%20documents\Revenue%20Model\Rev&amp;Exp.Model%2001.17.07%20OIRE'S%20Enrollment%20Statistics%20%23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ssumptions"/>
      <sheetName val="18,900 Students FY 2008 "/>
      <sheetName val="19,900 Students FY 2009 "/>
      <sheetName val="Proj Rev &amp; Expend"/>
      <sheetName val="Summary by Function"/>
      <sheetName val="Summary by Classification"/>
      <sheetName val="Exp by Function"/>
    </sheetNames>
    <sheetDataSet>
      <sheetData sheetId="0"/>
      <sheetData sheetId="1"/>
      <sheetData sheetId="2"/>
      <sheetData sheetId="3">
        <row r="1">
          <cell r="A1" t="str">
            <v>SOUTH TEXAS COLLEGE</v>
          </cell>
        </row>
        <row r="2">
          <cell r="A2" t="str">
            <v>Schedule of Projected Revenues and Expenditures</v>
          </cell>
        </row>
        <row r="3">
          <cell r="A3" t="str">
            <v>For the Fiscal Years 2007 Through 2010</v>
          </cell>
        </row>
        <row r="6">
          <cell r="H6" t="str">
            <v>ACTUAL</v>
          </cell>
          <cell r="Q6" t="str">
            <v xml:space="preserve">               PROJECTED</v>
          </cell>
        </row>
        <row r="7">
          <cell r="B7" t="str">
            <v>FY 1994</v>
          </cell>
          <cell r="C7" t="str">
            <v>FY 1995</v>
          </cell>
          <cell r="D7" t="str">
            <v>FY 1996</v>
          </cell>
          <cell r="E7" t="str">
            <v>FY 1997</v>
          </cell>
          <cell r="F7" t="str">
            <v>FY 1998</v>
          </cell>
          <cell r="G7" t="str">
            <v>FY 1999</v>
          </cell>
          <cell r="H7" t="str">
            <v>FY 2000</v>
          </cell>
          <cell r="I7" t="str">
            <v>FY 2001</v>
          </cell>
          <cell r="J7" t="str">
            <v>FY 2002</v>
          </cell>
          <cell r="K7" t="str">
            <v>FY 2003</v>
          </cell>
          <cell r="L7" t="str">
            <v>FY 2004</v>
          </cell>
          <cell r="M7" t="str">
            <v>FY 2005</v>
          </cell>
          <cell r="N7" t="str">
            <v>FY 2006</v>
          </cell>
          <cell r="P7" t="str">
            <v>FY 2007</v>
          </cell>
          <cell r="Q7" t="str">
            <v>FY 2008</v>
          </cell>
        </row>
        <row r="8">
          <cell r="C8" t="str">
            <v xml:space="preserve"> </v>
          </cell>
          <cell r="D8" t="str">
            <v xml:space="preserve"> </v>
          </cell>
          <cell r="E8" t="str">
            <v xml:space="preserve"> </v>
          </cell>
          <cell r="F8" t="str">
            <v xml:space="preserve"> </v>
          </cell>
          <cell r="L8" t="str">
            <v>(As Amended)</v>
          </cell>
          <cell r="M8" t="str">
            <v>(As Amended)</v>
          </cell>
          <cell r="N8" t="str">
            <v>(As Amended)</v>
          </cell>
        </row>
        <row r="9">
          <cell r="A9" t="str">
            <v>Enrollment Statistics:</v>
          </cell>
          <cell r="P9" t="str">
            <v>Current Bdgt</v>
          </cell>
        </row>
        <row r="10">
          <cell r="A10" t="str">
            <v>Headcount - Fall Semester</v>
          </cell>
          <cell r="B10">
            <v>1058</v>
          </cell>
          <cell r="C10">
            <v>2334</v>
          </cell>
          <cell r="D10">
            <v>3267</v>
          </cell>
          <cell r="E10">
            <v>5424</v>
          </cell>
          <cell r="F10">
            <v>6857</v>
          </cell>
          <cell r="G10">
            <v>9453</v>
          </cell>
          <cell r="H10">
            <v>10373</v>
          </cell>
          <cell r="I10">
            <v>11344</v>
          </cell>
          <cell r="J10">
            <v>12499</v>
          </cell>
          <cell r="K10">
            <v>13845</v>
          </cell>
          <cell r="L10">
            <v>15482</v>
          </cell>
          <cell r="M10">
            <v>17138</v>
          </cell>
          <cell r="N10">
            <v>16609</v>
          </cell>
          <cell r="P10">
            <v>16700</v>
          </cell>
          <cell r="Q10">
            <v>18900</v>
          </cell>
        </row>
        <row r="11">
          <cell r="A11" t="str">
            <v>FTE - Fall Semester</v>
          </cell>
          <cell r="B11">
            <v>685</v>
          </cell>
          <cell r="C11">
            <v>1432</v>
          </cell>
          <cell r="D11">
            <v>2389</v>
          </cell>
          <cell r="E11">
            <v>4081</v>
          </cell>
          <cell r="F11">
            <v>5290</v>
          </cell>
          <cell r="G11">
            <v>7877</v>
          </cell>
          <cell r="H11">
            <v>8499</v>
          </cell>
          <cell r="I11">
            <v>8934</v>
          </cell>
          <cell r="J11">
            <v>9634</v>
          </cell>
          <cell r="K11">
            <v>10627</v>
          </cell>
          <cell r="L11">
            <v>11322</v>
          </cell>
          <cell r="M11">
            <v>12452</v>
          </cell>
          <cell r="N11">
            <v>12049</v>
          </cell>
          <cell r="P11">
            <v>13049</v>
          </cell>
          <cell r="Q11">
            <v>13957</v>
          </cell>
        </row>
        <row r="12">
          <cell r="A12" t="str">
            <v>Headcount - Annualized Unduplicated</v>
          </cell>
          <cell r="B12">
            <v>2900</v>
          </cell>
          <cell r="C12">
            <v>4967</v>
          </cell>
          <cell r="D12">
            <v>6899</v>
          </cell>
          <cell r="E12">
            <v>9758</v>
          </cell>
          <cell r="F12">
            <v>11258</v>
          </cell>
          <cell r="G12">
            <v>12758</v>
          </cell>
          <cell r="H12">
            <v>14258</v>
          </cell>
          <cell r="J12">
            <v>1500</v>
          </cell>
          <cell r="K12" t="e">
            <v>#REF!</v>
          </cell>
          <cell r="L12" t="e">
            <v>#REF!</v>
          </cell>
          <cell r="M12" t="e">
            <v>#REF!</v>
          </cell>
          <cell r="N12" t="e">
            <v>#REF!</v>
          </cell>
        </row>
        <row r="13">
          <cell r="A13" t="str">
            <v>Headcount - Fall Semester Duplicated</v>
          </cell>
          <cell r="B13" t="str">
            <v>?</v>
          </cell>
          <cell r="C13" t="str">
            <v>?</v>
          </cell>
          <cell r="D13" t="str">
            <v>?</v>
          </cell>
          <cell r="E13">
            <v>8060</v>
          </cell>
          <cell r="F13">
            <v>10554</v>
          </cell>
          <cell r="G13">
            <v>14132</v>
          </cell>
          <cell r="H13">
            <v>14998</v>
          </cell>
          <cell r="I13" t="str">
            <v>?</v>
          </cell>
          <cell r="J13" t="str">
            <v>?</v>
          </cell>
          <cell r="K13" t="str">
            <v>?</v>
          </cell>
          <cell r="L13" t="str">
            <v>?</v>
          </cell>
          <cell r="M13" t="str">
            <v>?</v>
          </cell>
          <cell r="N13" t="str">
            <v>?</v>
          </cell>
        </row>
        <row r="14">
          <cell r="A14" t="str">
            <v>Total FTE - Annualized (cont hr/430)</v>
          </cell>
          <cell r="B14">
            <v>1164</v>
          </cell>
          <cell r="C14">
            <v>2139</v>
          </cell>
          <cell r="D14">
            <v>2884</v>
          </cell>
          <cell r="E14">
            <v>4081</v>
          </cell>
          <cell r="F14">
            <v>5291</v>
          </cell>
          <cell r="G14">
            <v>7877</v>
          </cell>
          <cell r="H14">
            <v>8494</v>
          </cell>
          <cell r="I14">
            <v>10976.732558139534</v>
          </cell>
          <cell r="J14">
            <v>11781.716279069768</v>
          </cell>
          <cell r="K14">
            <v>11781.716279069768</v>
          </cell>
          <cell r="L14">
            <v>14723.227906976745</v>
          </cell>
          <cell r="M14">
            <v>14723.227906976745</v>
          </cell>
          <cell r="N14">
            <v>16278.883720930233</v>
          </cell>
        </row>
        <row r="15">
          <cell r="A15" t="str">
            <v>FTE Annualized</v>
          </cell>
          <cell r="B15">
            <v>1164.1333333333334</v>
          </cell>
          <cell r="C15">
            <v>2139.3666666666668</v>
          </cell>
          <cell r="D15">
            <v>2882.9333333333334</v>
          </cell>
          <cell r="E15">
            <v>4488.9666666666662</v>
          </cell>
          <cell r="F15">
            <v>5707.9666666666662</v>
          </cell>
          <cell r="G15">
            <v>7474.2666666666664</v>
          </cell>
          <cell r="H15">
            <v>7980.3666666666668</v>
          </cell>
          <cell r="I15">
            <v>8424</v>
          </cell>
          <cell r="J15">
            <v>9316</v>
          </cell>
          <cell r="K15">
            <v>10268</v>
          </cell>
          <cell r="L15">
            <v>10622</v>
          </cell>
          <cell r="M15">
            <v>11200</v>
          </cell>
          <cell r="N15">
            <v>12364</v>
          </cell>
          <cell r="P15">
            <v>12230</v>
          </cell>
          <cell r="Q15">
            <v>12988</v>
          </cell>
        </row>
        <row r="16">
          <cell r="A16" t="str">
            <v>Annualized SCH's (FTE*30 hrs)</v>
          </cell>
          <cell r="B16">
            <v>34924</v>
          </cell>
          <cell r="C16">
            <v>64181</v>
          </cell>
          <cell r="D16">
            <v>86488</v>
          </cell>
          <cell r="E16">
            <v>134669</v>
          </cell>
          <cell r="F16">
            <v>171239</v>
          </cell>
          <cell r="G16">
            <v>224228</v>
          </cell>
          <cell r="H16">
            <v>239411</v>
          </cell>
          <cell r="I16">
            <v>268020</v>
          </cell>
          <cell r="J16">
            <v>289020</v>
          </cell>
          <cell r="K16">
            <v>318810</v>
          </cell>
          <cell r="L16">
            <v>339660</v>
          </cell>
          <cell r="M16">
            <v>373560</v>
          </cell>
          <cell r="N16">
            <v>361470</v>
          </cell>
          <cell r="P16">
            <v>366900</v>
          </cell>
          <cell r="Q16">
            <v>389640</v>
          </cell>
        </row>
        <row r="17">
          <cell r="A17" t="str">
            <v xml:space="preserve">Contact Hours - Total Fiscal Year </v>
          </cell>
          <cell r="B17">
            <v>901464</v>
          </cell>
          <cell r="C17">
            <v>1396776</v>
          </cell>
          <cell r="D17">
            <v>1656875</v>
          </cell>
          <cell r="E17">
            <v>2640032</v>
          </cell>
          <cell r="F17">
            <v>3398048</v>
          </cell>
          <cell r="G17">
            <v>4696272</v>
          </cell>
          <cell r="H17">
            <v>4988736</v>
          </cell>
          <cell r="I17">
            <v>5107328</v>
          </cell>
          <cell r="J17">
            <v>5780448</v>
          </cell>
          <cell r="K17">
            <v>6286096</v>
          </cell>
          <cell r="L17">
            <v>6525712</v>
          </cell>
          <cell r="M17">
            <v>7042736</v>
          </cell>
          <cell r="N17">
            <v>7477949</v>
          </cell>
        </row>
        <row r="18">
          <cell r="A18" t="str">
            <v>Base Contact Hours</v>
          </cell>
          <cell r="B18" t="str">
            <v>Data Not Available</v>
          </cell>
          <cell r="H18">
            <v>4719995</v>
          </cell>
          <cell r="I18">
            <v>4719995</v>
          </cell>
          <cell r="J18">
            <v>5066138</v>
          </cell>
          <cell r="K18">
            <v>5066138</v>
          </cell>
          <cell r="L18">
            <v>6330988</v>
          </cell>
          <cell r="M18">
            <v>6330988</v>
          </cell>
          <cell r="N18">
            <v>6999920</v>
          </cell>
          <cell r="P18">
            <v>6999920</v>
          </cell>
          <cell r="Q18">
            <v>7419915.2000000002</v>
          </cell>
        </row>
        <row r="19">
          <cell r="A19" t="str">
            <v xml:space="preserve"> </v>
          </cell>
          <cell r="B19" t="str">
            <v xml:space="preserve"> </v>
          </cell>
          <cell r="C19" t="str">
            <v xml:space="preserve"> </v>
          </cell>
          <cell r="D19" t="str">
            <v xml:space="preserve"> </v>
          </cell>
          <cell r="E19" t="str">
            <v xml:space="preserve"> </v>
          </cell>
          <cell r="F19" t="str">
            <v xml:space="preserve"> </v>
          </cell>
          <cell r="G19" t="str">
            <v xml:space="preserve"> </v>
          </cell>
          <cell r="H19" t="str">
            <v xml:space="preserve"> </v>
          </cell>
          <cell r="I19" t="str">
            <v xml:space="preserve"> </v>
          </cell>
          <cell r="J19" t="str">
            <v xml:space="preserve"> </v>
          </cell>
          <cell r="K19" t="str">
            <v xml:space="preserve"> </v>
          </cell>
          <cell r="L19" t="str">
            <v xml:space="preserve"> </v>
          </cell>
          <cell r="M19" t="str">
            <v xml:space="preserve"> </v>
          </cell>
          <cell r="N19" t="str">
            <v xml:space="preserve"> </v>
          </cell>
          <cell r="P19" t="str">
            <v xml:space="preserve"> </v>
          </cell>
          <cell r="Q19" t="str">
            <v xml:space="preserve"> </v>
          </cell>
        </row>
        <row r="20">
          <cell r="A20" t="str">
            <v>REVENUES:</v>
          </cell>
          <cell r="F20" t="str">
            <v xml:space="preserve"> </v>
          </cell>
          <cell r="G20" t="str">
            <v xml:space="preserve"> </v>
          </cell>
        </row>
        <row r="21">
          <cell r="A21" t="str">
            <v xml:space="preserve">     State Appropriations:</v>
          </cell>
          <cell r="B21">
            <v>3935074</v>
          </cell>
          <cell r="C21">
            <v>6222888</v>
          </cell>
          <cell r="D21">
            <v>6470397</v>
          </cell>
          <cell r="E21">
            <v>6527453.6200000001</v>
          </cell>
          <cell r="F21">
            <v>10228472.799999999</v>
          </cell>
          <cell r="G21">
            <v>10913780.43</v>
          </cell>
          <cell r="H21">
            <v>22960090</v>
          </cell>
          <cell r="I21">
            <v>22520429</v>
          </cell>
          <cell r="J21">
            <v>23618435</v>
          </cell>
          <cell r="K21">
            <v>22825281</v>
          </cell>
          <cell r="L21">
            <v>24128754</v>
          </cell>
          <cell r="M21">
            <v>24945029</v>
          </cell>
          <cell r="N21">
            <v>29206622.100000001</v>
          </cell>
          <cell r="P21">
            <v>30182226</v>
          </cell>
          <cell r="Q21">
            <v>30249027.201526929</v>
          </cell>
        </row>
        <row r="22">
          <cell r="A22" t="str">
            <v xml:space="preserve">        - State Contact Revenue</v>
          </cell>
          <cell r="C22">
            <v>5489430</v>
          </cell>
          <cell r="D22">
            <v>5761956</v>
          </cell>
          <cell r="E22">
            <v>5761959</v>
          </cell>
          <cell r="F22">
            <v>8535316</v>
          </cell>
          <cell r="G22">
            <v>8876515</v>
          </cell>
          <cell r="H22">
            <v>16833243</v>
          </cell>
          <cell r="I22">
            <v>17275116</v>
          </cell>
          <cell r="J22">
            <v>19615495</v>
          </cell>
          <cell r="K22">
            <v>18188234</v>
          </cell>
          <cell r="L22">
            <v>19849635</v>
          </cell>
          <cell r="M22">
            <v>19849307</v>
          </cell>
          <cell r="N22">
            <v>23228528</v>
          </cell>
          <cell r="P22">
            <v>23233893</v>
          </cell>
          <cell r="Q22">
            <v>23488640</v>
          </cell>
        </row>
        <row r="23">
          <cell r="A23" t="str">
            <v xml:space="preserve">        - Baccalaureate Degree</v>
          </cell>
          <cell r="N23">
            <v>500000</v>
          </cell>
          <cell r="P23">
            <v>500000</v>
          </cell>
        </row>
        <row r="24">
          <cell r="A24" t="str">
            <v xml:space="preserve">        - Hidalgo Technology Center</v>
          </cell>
          <cell r="N24">
            <v>250000</v>
          </cell>
          <cell r="P24">
            <v>250000</v>
          </cell>
        </row>
        <row r="25">
          <cell r="A25" t="str">
            <v xml:space="preserve">        - Starr County Startup Project/Carryover</v>
          </cell>
          <cell r="H25">
            <v>1287275</v>
          </cell>
        </row>
        <row r="26">
          <cell r="A26" t="str">
            <v xml:space="preserve">        - Mid-Valley Startup Project/Carryover</v>
          </cell>
          <cell r="I26">
            <v>1812725</v>
          </cell>
        </row>
        <row r="27">
          <cell r="A27" t="str">
            <v xml:space="preserve">        - Dramatic Enrollment Growth</v>
          </cell>
          <cell r="D27">
            <v>109427</v>
          </cell>
          <cell r="F27">
            <v>423694</v>
          </cell>
          <cell r="G27">
            <v>524646</v>
          </cell>
          <cell r="H27">
            <v>1922205</v>
          </cell>
          <cell r="I27">
            <v>254461</v>
          </cell>
        </row>
        <row r="28">
          <cell r="A28" t="str">
            <v xml:space="preserve">        - Dramatic Enrollment Growth-Nursing/Carryover</v>
          </cell>
          <cell r="K28">
            <v>314955</v>
          </cell>
        </row>
        <row r="29">
          <cell r="A29" t="str">
            <v xml:space="preserve">        - NAH Shortage Reduction</v>
          </cell>
          <cell r="N29">
            <v>15573</v>
          </cell>
        </row>
        <row r="30">
          <cell r="A30" t="str">
            <v xml:space="preserve">        - Non Course Based Remediation</v>
          </cell>
          <cell r="C30">
            <v>61801</v>
          </cell>
          <cell r="D30">
            <v>85479</v>
          </cell>
          <cell r="E30">
            <v>43790</v>
          </cell>
          <cell r="F30">
            <v>77148</v>
          </cell>
          <cell r="G30">
            <v>97349</v>
          </cell>
          <cell r="H30">
            <v>128258</v>
          </cell>
        </row>
        <row r="31">
          <cell r="A31" t="str">
            <v xml:space="preserve">        - Performance Based Development</v>
          </cell>
          <cell r="I31">
            <v>168859</v>
          </cell>
          <cell r="J31">
            <v>125836</v>
          </cell>
          <cell r="K31">
            <v>156460</v>
          </cell>
        </row>
        <row r="32">
          <cell r="A32" t="str">
            <v xml:space="preserve">        - New Program Development</v>
          </cell>
        </row>
        <row r="33">
          <cell r="A33" t="str">
            <v xml:space="preserve">        - State ORP Contribution</v>
          </cell>
          <cell r="C33">
            <v>164975</v>
          </cell>
          <cell r="D33">
            <v>166766.52000000002</v>
          </cell>
          <cell r="E33">
            <v>256159.62</v>
          </cell>
          <cell r="F33">
            <v>277913.61</v>
          </cell>
          <cell r="G33">
            <v>321236.08</v>
          </cell>
          <cell r="H33">
            <v>478854</v>
          </cell>
          <cell r="I33">
            <v>529058</v>
          </cell>
          <cell r="J33">
            <v>591695.19999999995</v>
          </cell>
          <cell r="K33">
            <v>670570.4</v>
          </cell>
          <cell r="L33">
            <v>679783.60000000009</v>
          </cell>
          <cell r="M33">
            <v>738561.20000000007</v>
          </cell>
          <cell r="N33">
            <v>640138.06999999995</v>
          </cell>
          <cell r="P33">
            <v>630958</v>
          </cell>
          <cell r="Q33">
            <v>738194.75304394378</v>
          </cell>
        </row>
        <row r="34">
          <cell r="A34" t="str">
            <v xml:space="preserve">        - State TRS Contribution</v>
          </cell>
          <cell r="C34">
            <v>9482</v>
          </cell>
          <cell r="D34">
            <v>124030.48</v>
          </cell>
          <cell r="E34">
            <v>242807</v>
          </cell>
          <cell r="F34">
            <v>372115.19</v>
          </cell>
          <cell r="G34">
            <v>540903.35</v>
          </cell>
          <cell r="H34">
            <v>680432</v>
          </cell>
          <cell r="I34">
            <v>788872</v>
          </cell>
          <cell r="J34">
            <v>887542.8</v>
          </cell>
          <cell r="K34">
            <v>1005855.6</v>
          </cell>
          <cell r="L34">
            <v>1019675.3999999999</v>
          </cell>
          <cell r="M34">
            <v>1107841.8</v>
          </cell>
          <cell r="N34">
            <v>1407828.03</v>
          </cell>
          <cell r="P34">
            <v>1470913</v>
          </cell>
          <cell r="Q34">
            <v>1720907.3484829839</v>
          </cell>
        </row>
        <row r="35">
          <cell r="A35" t="str">
            <v xml:space="preserve">        - State Insurance Contribution</v>
          </cell>
          <cell r="C35">
            <v>183618</v>
          </cell>
          <cell r="D35">
            <v>222738</v>
          </cell>
          <cell r="E35">
            <v>222738</v>
          </cell>
          <cell r="F35">
            <v>542286</v>
          </cell>
          <cell r="G35">
            <v>553131</v>
          </cell>
          <cell r="H35">
            <v>1629823</v>
          </cell>
          <cell r="I35">
            <v>1691338</v>
          </cell>
          <cell r="J35">
            <v>2397866</v>
          </cell>
          <cell r="K35">
            <v>2489206</v>
          </cell>
          <cell r="L35">
            <v>2579660</v>
          </cell>
          <cell r="M35">
            <v>3249319</v>
          </cell>
          <cell r="N35">
            <v>3930128</v>
          </cell>
          <cell r="P35">
            <v>4096462</v>
          </cell>
          <cell r="Q35">
            <v>4301285.1000000006</v>
          </cell>
        </row>
        <row r="36">
          <cell r="A36" t="str">
            <v xml:space="preserve">        - State O.A.S.I. Contribution</v>
          </cell>
          <cell r="C36">
            <v>313582</v>
          </cell>
        </row>
        <row r="38">
          <cell r="A38" t="str">
            <v xml:space="preserve">     Tuition: </v>
          </cell>
          <cell r="L38">
            <v>13849417</v>
          </cell>
          <cell r="M38">
            <v>18421065</v>
          </cell>
          <cell r="N38">
            <v>18970555.810000002</v>
          </cell>
          <cell r="P38">
            <v>20015422.6888</v>
          </cell>
          <cell r="Q38">
            <v>21511259.785081998</v>
          </cell>
        </row>
        <row r="39">
          <cell r="A39" t="str">
            <v xml:space="preserve">        - Academic Tuition </v>
          </cell>
          <cell r="B39">
            <v>799880</v>
          </cell>
          <cell r="C39">
            <v>1549733</v>
          </cell>
          <cell r="D39">
            <v>2341319</v>
          </cell>
          <cell r="E39">
            <v>3369050</v>
          </cell>
          <cell r="F39">
            <v>4980058</v>
          </cell>
          <cell r="G39">
            <v>6405227</v>
          </cell>
          <cell r="H39">
            <v>6955940</v>
          </cell>
          <cell r="I39">
            <v>11793109</v>
          </cell>
          <cell r="J39">
            <v>13444698</v>
          </cell>
          <cell r="K39">
            <v>14414583</v>
          </cell>
          <cell r="L39">
            <v>12625966</v>
          </cell>
          <cell r="M39">
            <v>19395166</v>
          </cell>
          <cell r="N39">
            <v>18584585.810000002</v>
          </cell>
          <cell r="P39">
            <v>19698272</v>
          </cell>
          <cell r="Q39">
            <v>21263090.82</v>
          </cell>
        </row>
        <row r="40">
          <cell r="A40" t="str">
            <v xml:space="preserve">        - Differential Tuition</v>
          </cell>
          <cell r="N40">
            <v>520793</v>
          </cell>
          <cell r="P40">
            <v>564050</v>
          </cell>
          <cell r="Q40">
            <v>580971.5</v>
          </cell>
        </row>
        <row r="41">
          <cell r="A41" t="str">
            <v xml:space="preserve">        - TPEG</v>
          </cell>
          <cell r="L41">
            <v>-877891</v>
          </cell>
          <cell r="M41">
            <v>-1127381</v>
          </cell>
          <cell r="N41">
            <v>-1207117</v>
          </cell>
          <cell r="P41">
            <v>-1276856.3412000001</v>
          </cell>
          <cell r="Q41">
            <v>-1373059.135218</v>
          </cell>
        </row>
        <row r="42">
          <cell r="A42" t="str">
            <v xml:space="preserve">        - Tuition - CE</v>
          </cell>
          <cell r="I42">
            <v>641038</v>
          </cell>
          <cell r="J42">
            <v>1528890</v>
          </cell>
          <cell r="K42">
            <v>1709798</v>
          </cell>
          <cell r="L42">
            <v>2101342</v>
          </cell>
          <cell r="M42">
            <v>153280</v>
          </cell>
          <cell r="N42">
            <v>1072294</v>
          </cell>
          <cell r="P42">
            <v>1029957.03</v>
          </cell>
          <cell r="Q42">
            <v>1040256.6003</v>
          </cell>
        </row>
        <row r="44">
          <cell r="A44" t="str">
            <v xml:space="preserve">     Fees</v>
          </cell>
          <cell r="B44">
            <v>0</v>
          </cell>
          <cell r="C44">
            <v>429236</v>
          </cell>
          <cell r="D44">
            <v>1852016</v>
          </cell>
          <cell r="E44">
            <v>3343682</v>
          </cell>
          <cell r="F44">
            <v>5176258</v>
          </cell>
          <cell r="G44">
            <v>6972387</v>
          </cell>
          <cell r="H44">
            <v>7525270</v>
          </cell>
          <cell r="I44">
            <v>2280540</v>
          </cell>
          <cell r="J44">
            <v>2588873</v>
          </cell>
          <cell r="K44">
            <v>3085369</v>
          </cell>
          <cell r="L44">
            <v>4158722</v>
          </cell>
          <cell r="M44">
            <v>4646688</v>
          </cell>
          <cell r="N44">
            <v>7039505</v>
          </cell>
          <cell r="P44">
            <v>7331805</v>
          </cell>
          <cell r="Q44">
            <v>7551759.1500000004</v>
          </cell>
        </row>
        <row r="46">
          <cell r="A46" t="str">
            <v xml:space="preserve">     Taxes</v>
          </cell>
          <cell r="B46">
            <v>0</v>
          </cell>
          <cell r="E46">
            <v>7450612</v>
          </cell>
          <cell r="F46">
            <v>8658301</v>
          </cell>
          <cell r="G46">
            <v>9318770</v>
          </cell>
          <cell r="H46">
            <v>9897606</v>
          </cell>
          <cell r="I46">
            <v>11266068</v>
          </cell>
          <cell r="J46">
            <v>12784038</v>
          </cell>
          <cell r="K46">
            <v>18834448</v>
          </cell>
          <cell r="L46">
            <v>20235722</v>
          </cell>
          <cell r="M46">
            <v>22855228</v>
          </cell>
          <cell r="N46">
            <v>24854665</v>
          </cell>
          <cell r="P46">
            <v>26175743</v>
          </cell>
          <cell r="Q46">
            <v>27746287.580000002</v>
          </cell>
        </row>
        <row r="48">
          <cell r="A48" t="str">
            <v xml:space="preserve">     Budget Carryover </v>
          </cell>
          <cell r="P48">
            <v>2188746</v>
          </cell>
          <cell r="Q48">
            <v>1000000</v>
          </cell>
        </row>
        <row r="50">
          <cell r="A50" t="str">
            <v xml:space="preserve">     Other</v>
          </cell>
          <cell r="B50">
            <v>28705</v>
          </cell>
          <cell r="C50">
            <v>111684</v>
          </cell>
          <cell r="D50">
            <v>167565</v>
          </cell>
          <cell r="E50">
            <v>350276</v>
          </cell>
          <cell r="F50">
            <v>566447</v>
          </cell>
          <cell r="G50">
            <v>723228</v>
          </cell>
          <cell r="H50">
            <v>1778046</v>
          </cell>
          <cell r="I50">
            <v>2455799</v>
          </cell>
          <cell r="J50">
            <v>3302716</v>
          </cell>
          <cell r="K50">
            <v>1929382</v>
          </cell>
          <cell r="L50">
            <v>2009776</v>
          </cell>
          <cell r="M50">
            <v>3082370</v>
          </cell>
          <cell r="N50">
            <v>3190266</v>
          </cell>
          <cell r="P50">
            <v>3135749</v>
          </cell>
          <cell r="Q50">
            <v>3292536.45</v>
          </cell>
        </row>
        <row r="51">
          <cell r="A51" t="str">
            <v>Total Revenues</v>
          </cell>
          <cell r="B51">
            <v>4763659</v>
          </cell>
          <cell r="C51">
            <v>8313541</v>
          </cell>
          <cell r="D51">
            <v>10831297</v>
          </cell>
          <cell r="E51">
            <v>21041073.620000001</v>
          </cell>
          <cell r="F51">
            <v>29609536.799999997</v>
          </cell>
          <cell r="G51">
            <v>34333392.43</v>
          </cell>
          <cell r="H51">
            <v>49116952</v>
          </cell>
          <cell r="I51">
            <v>50956983</v>
          </cell>
          <cell r="J51">
            <v>57267650</v>
          </cell>
          <cell r="K51">
            <v>62798861</v>
          </cell>
          <cell r="L51">
            <v>64382391</v>
          </cell>
          <cell r="M51">
            <v>73950379</v>
          </cell>
          <cell r="N51">
            <v>83261613.909999996</v>
          </cell>
          <cell r="P51">
            <v>89029691.688800007</v>
          </cell>
          <cell r="Q51">
            <v>91350870.16660893</v>
          </cell>
        </row>
        <row r="53">
          <cell r="A53" t="str">
            <v>EXPENDITURES:</v>
          </cell>
        </row>
        <row r="54">
          <cell r="A54" t="str">
            <v xml:space="preserve">     Salaries and Wages</v>
          </cell>
          <cell r="B54">
            <v>2694354.94</v>
          </cell>
          <cell r="C54">
            <v>4375651</v>
          </cell>
          <cell r="D54">
            <v>6102039</v>
          </cell>
          <cell r="E54">
            <v>10005989</v>
          </cell>
          <cell r="F54">
            <v>14014889.279999999</v>
          </cell>
          <cell r="G54">
            <v>17847924.32</v>
          </cell>
          <cell r="H54">
            <v>23371112.510000002</v>
          </cell>
          <cell r="I54">
            <v>26016866</v>
          </cell>
          <cell r="J54">
            <v>29244806</v>
          </cell>
          <cell r="K54">
            <v>32478747.339999996</v>
          </cell>
          <cell r="L54">
            <v>32925081</v>
          </cell>
          <cell r="M54">
            <v>37118461</v>
          </cell>
          <cell r="N54">
            <v>40824673</v>
          </cell>
          <cell r="P54">
            <v>47763178.219999999</v>
          </cell>
          <cell r="Q54">
            <v>51279989.990000002</v>
          </cell>
        </row>
        <row r="55">
          <cell r="A55" t="str">
            <v xml:space="preserve">     Benefits</v>
          </cell>
          <cell r="C55">
            <v>662175</v>
          </cell>
          <cell r="D55">
            <v>1223485.51</v>
          </cell>
          <cell r="E55">
            <v>2131671.1399999997</v>
          </cell>
          <cell r="F55">
            <v>2949608.57</v>
          </cell>
          <cell r="G55">
            <v>3673964.58</v>
          </cell>
          <cell r="H55">
            <v>5097651.5600000005</v>
          </cell>
          <cell r="I55">
            <v>5871730.1400000006</v>
          </cell>
          <cell r="J55">
            <v>6124870</v>
          </cell>
          <cell r="K55">
            <v>8321100.5899999999</v>
          </cell>
          <cell r="L55">
            <v>8258127</v>
          </cell>
          <cell r="M55">
            <v>9135013.9499999993</v>
          </cell>
          <cell r="N55">
            <v>10181362</v>
          </cell>
          <cell r="P55">
            <v>12966719.130000001</v>
          </cell>
          <cell r="Q55">
            <v>13737117.310000001</v>
          </cell>
        </row>
        <row r="56">
          <cell r="A56" t="str">
            <v xml:space="preserve">     Operating Expenditures</v>
          </cell>
          <cell r="B56">
            <v>1493166.11</v>
          </cell>
          <cell r="C56">
            <v>610370</v>
          </cell>
          <cell r="D56">
            <v>2431049.4500000002</v>
          </cell>
          <cell r="E56">
            <v>3723347.5300000003</v>
          </cell>
          <cell r="F56">
            <v>5061169.1500000004</v>
          </cell>
          <cell r="G56">
            <v>5281270.66</v>
          </cell>
          <cell r="H56">
            <v>7618211.7700000005</v>
          </cell>
          <cell r="I56">
            <v>8283137</v>
          </cell>
          <cell r="J56">
            <v>11255987.6</v>
          </cell>
          <cell r="K56">
            <v>9988978.2199999988</v>
          </cell>
          <cell r="L56">
            <v>10313485.859999999</v>
          </cell>
          <cell r="M56">
            <v>14219415.140000001</v>
          </cell>
          <cell r="N56">
            <v>16290397</v>
          </cell>
          <cell r="P56">
            <v>21929475.27</v>
          </cell>
          <cell r="Q56">
            <v>20162081.330032691</v>
          </cell>
        </row>
        <row r="57">
          <cell r="A57" t="str">
            <v xml:space="preserve">     Travel</v>
          </cell>
          <cell r="D57">
            <v>92268.04</v>
          </cell>
          <cell r="E57">
            <v>192593.78</v>
          </cell>
          <cell r="F57">
            <v>315283.74</v>
          </cell>
          <cell r="G57">
            <v>351338.34</v>
          </cell>
          <cell r="H57">
            <v>521130.33</v>
          </cell>
          <cell r="I57">
            <v>601191</v>
          </cell>
          <cell r="J57">
            <v>659822.39999999991</v>
          </cell>
          <cell r="K57">
            <v>588583.8600000001</v>
          </cell>
          <cell r="L57">
            <v>662600.86</v>
          </cell>
          <cell r="M57">
            <v>771876.42</v>
          </cell>
          <cell r="N57">
            <v>723698</v>
          </cell>
          <cell r="P57">
            <v>1076827.3799999999</v>
          </cell>
          <cell r="Q57">
            <v>990041.07242215902</v>
          </cell>
        </row>
        <row r="58">
          <cell r="A58" t="str">
            <v xml:space="preserve">     Scholarships</v>
          </cell>
          <cell r="C58">
            <v>4057</v>
          </cell>
          <cell r="D58">
            <v>9896</v>
          </cell>
          <cell r="E58">
            <v>20557.02</v>
          </cell>
          <cell r="F58">
            <v>26917.26</v>
          </cell>
          <cell r="G58">
            <v>33062</v>
          </cell>
          <cell r="H58">
            <v>44488.5</v>
          </cell>
          <cell r="I58">
            <v>697119</v>
          </cell>
          <cell r="J58">
            <v>1206696</v>
          </cell>
          <cell r="K58">
            <v>1537602.35</v>
          </cell>
        </row>
        <row r="59">
          <cell r="A59" t="str">
            <v xml:space="preserve">    Capital Outlay</v>
          </cell>
          <cell r="B59">
            <v>432566.95</v>
          </cell>
          <cell r="C59">
            <v>731530</v>
          </cell>
          <cell r="D59">
            <v>979656</v>
          </cell>
          <cell r="E59">
            <v>1461672.66</v>
          </cell>
          <cell r="F59">
            <v>1322570.42</v>
          </cell>
          <cell r="G59">
            <v>154698.23000000001</v>
          </cell>
          <cell r="H59">
            <v>2706095.97</v>
          </cell>
          <cell r="I59">
            <v>3056877</v>
          </cell>
          <cell r="J59">
            <v>2552636</v>
          </cell>
          <cell r="K59">
            <v>527427.68999999994</v>
          </cell>
          <cell r="L59">
            <v>981596.51</v>
          </cell>
          <cell r="M59">
            <v>2333880.14</v>
          </cell>
          <cell r="N59">
            <v>1714749</v>
          </cell>
          <cell r="P59">
            <v>1394532</v>
          </cell>
          <cell r="Q59">
            <v>1282140.4641540768</v>
          </cell>
        </row>
        <row r="60">
          <cell r="A60" t="str">
            <v xml:space="preserve">    Other Expenses</v>
          </cell>
          <cell r="J60">
            <v>1107885</v>
          </cell>
          <cell r="K60">
            <v>8794</v>
          </cell>
          <cell r="L60">
            <v>0</v>
          </cell>
          <cell r="M60">
            <v>0</v>
          </cell>
        </row>
        <row r="61">
          <cell r="A61" t="str">
            <v>Total Expenditures:</v>
          </cell>
          <cell r="B61">
            <v>4620088</v>
          </cell>
          <cell r="C61">
            <v>6383783</v>
          </cell>
          <cell r="D61">
            <v>10838394</v>
          </cell>
          <cell r="E61">
            <v>17535831.129999999</v>
          </cell>
          <cell r="F61">
            <v>23690438.420000002</v>
          </cell>
          <cell r="G61">
            <v>27342257.129999999</v>
          </cell>
          <cell r="H61">
            <v>39358690.640000001</v>
          </cell>
          <cell r="I61">
            <v>44526920.140000001</v>
          </cell>
          <cell r="J61">
            <v>52152703</v>
          </cell>
          <cell r="K61">
            <v>53451234.04999999</v>
          </cell>
          <cell r="L61">
            <v>53140891.229999997</v>
          </cell>
          <cell r="M61">
            <v>63578646.650000006</v>
          </cell>
          <cell r="N61">
            <v>69734879</v>
          </cell>
          <cell r="P61">
            <v>85130732</v>
          </cell>
          <cell r="Q61">
            <v>87451370.16660893</v>
          </cell>
        </row>
        <row r="62">
          <cell r="I62" t="str">
            <v xml:space="preserve"> </v>
          </cell>
        </row>
        <row r="63">
          <cell r="A63" t="str">
            <v>TRANSFERS:</v>
          </cell>
          <cell r="B63" t="str">
            <v xml:space="preserve"> </v>
          </cell>
          <cell r="C63" t="str">
            <v xml:space="preserve"> </v>
          </cell>
          <cell r="D63" t="str">
            <v xml:space="preserve"> </v>
          </cell>
          <cell r="E63" t="str">
            <v xml:space="preserve"> </v>
          </cell>
          <cell r="F63" t="str">
            <v xml:space="preserve"> </v>
          </cell>
          <cell r="G63" t="str">
            <v xml:space="preserve"> </v>
          </cell>
          <cell r="H63" t="str">
            <v xml:space="preserve"> </v>
          </cell>
          <cell r="I63" t="str">
            <v xml:space="preserve"> </v>
          </cell>
          <cell r="J63" t="str">
            <v xml:space="preserve"> </v>
          </cell>
          <cell r="K63" t="str">
            <v xml:space="preserve"> </v>
          </cell>
          <cell r="L63" t="str">
            <v xml:space="preserve"> </v>
          </cell>
          <cell r="Q63" t="str">
            <v xml:space="preserve"> </v>
          </cell>
        </row>
        <row r="64">
          <cell r="A64" t="str">
            <v xml:space="preserve">     Mandatory Transfers:</v>
          </cell>
        </row>
        <row r="65">
          <cell r="A65" t="str">
            <v xml:space="preserve">        - Debt Service</v>
          </cell>
          <cell r="C65" t="str">
            <v xml:space="preserve"> </v>
          </cell>
          <cell r="D65" t="str">
            <v xml:space="preserve"> </v>
          </cell>
          <cell r="E65" t="str">
            <v xml:space="preserve"> </v>
          </cell>
          <cell r="F65" t="str">
            <v xml:space="preserve"> </v>
          </cell>
          <cell r="G65" t="str">
            <v xml:space="preserve"> </v>
          </cell>
          <cell r="H65">
            <v>400578</v>
          </cell>
          <cell r="I65">
            <v>409841</v>
          </cell>
          <cell r="J65">
            <v>398653</v>
          </cell>
          <cell r="K65">
            <v>370848</v>
          </cell>
          <cell r="L65">
            <v>399081</v>
          </cell>
          <cell r="M65">
            <v>393049</v>
          </cell>
          <cell r="N65">
            <v>397850</v>
          </cell>
          <cell r="P65">
            <v>398960</v>
          </cell>
          <cell r="Q65">
            <v>399500</v>
          </cell>
        </row>
        <row r="66">
          <cell r="A66" t="str">
            <v xml:space="preserve">        - TPEG</v>
          </cell>
          <cell r="C66">
            <v>88373</v>
          </cell>
          <cell r="D66">
            <v>151912</v>
          </cell>
          <cell r="E66">
            <v>198899</v>
          </cell>
          <cell r="F66">
            <v>290499</v>
          </cell>
          <cell r="G66">
            <v>500139</v>
          </cell>
          <cell r="H66">
            <v>412358</v>
          </cell>
          <cell r="I66">
            <v>743379</v>
          </cell>
          <cell r="J66">
            <v>828163</v>
          </cell>
          <cell r="K66">
            <v>882827</v>
          </cell>
        </row>
        <row r="67">
          <cell r="A67" t="str">
            <v xml:space="preserve">     Non Mandatory Transfers:</v>
          </cell>
        </row>
        <row r="68">
          <cell r="A68" t="str">
            <v xml:space="preserve">        - Transfer to Plant</v>
          </cell>
          <cell r="D68" t="str">
            <v xml:space="preserve"> </v>
          </cell>
          <cell r="E68">
            <v>2500000</v>
          </cell>
          <cell r="F68">
            <v>3000000</v>
          </cell>
          <cell r="G68">
            <v>3000000</v>
          </cell>
          <cell r="H68">
            <v>2416359</v>
          </cell>
          <cell r="I68">
            <v>2246684</v>
          </cell>
          <cell r="J68">
            <v>2229745</v>
          </cell>
          <cell r="K68">
            <v>5000000</v>
          </cell>
          <cell r="L68">
            <v>5000000</v>
          </cell>
          <cell r="M68">
            <v>2500000</v>
          </cell>
          <cell r="N68">
            <v>11250000</v>
          </cell>
          <cell r="P68">
            <v>2500000</v>
          </cell>
          <cell r="Q68">
            <v>2500000</v>
          </cell>
        </row>
        <row r="69">
          <cell r="A69" t="str">
            <v xml:space="preserve">        - Transfer to Mid Valley </v>
          </cell>
          <cell r="G69">
            <v>1836290.63</v>
          </cell>
          <cell r="H69">
            <v>1601297.97</v>
          </cell>
        </row>
        <row r="70">
          <cell r="A70" t="str">
            <v xml:space="preserve">        - Transfer to Technology</v>
          </cell>
          <cell r="L70">
            <v>1024460</v>
          </cell>
          <cell r="M70">
            <v>936400</v>
          </cell>
        </row>
        <row r="71">
          <cell r="A71" t="str">
            <v xml:space="preserve">     Other:</v>
          </cell>
          <cell r="C71">
            <v>191662</v>
          </cell>
          <cell r="D71">
            <v>16586</v>
          </cell>
          <cell r="E71">
            <v>60000</v>
          </cell>
        </row>
        <row r="72">
          <cell r="A72" t="str">
            <v xml:space="preserve">        - Transfer to Auxiliary</v>
          </cell>
          <cell r="K72">
            <v>-266027</v>
          </cell>
        </row>
        <row r="73">
          <cell r="A73" t="str">
            <v xml:space="preserve">        - Transfer to Plant</v>
          </cell>
          <cell r="L73">
            <v>1000000</v>
          </cell>
          <cell r="M73">
            <v>5000000</v>
          </cell>
        </row>
        <row r="74">
          <cell r="A74" t="str">
            <v xml:space="preserve">        - Transfer to R &amp; R</v>
          </cell>
          <cell r="L74">
            <v>500000</v>
          </cell>
          <cell r="N74">
            <v>2000000</v>
          </cell>
        </row>
        <row r="75">
          <cell r="A75" t="str">
            <v>Total Transfers</v>
          </cell>
          <cell r="B75">
            <v>0</v>
          </cell>
          <cell r="C75">
            <v>280035</v>
          </cell>
          <cell r="D75">
            <v>168498</v>
          </cell>
          <cell r="E75">
            <v>2758899</v>
          </cell>
          <cell r="F75">
            <v>3290499</v>
          </cell>
          <cell r="G75">
            <v>5336429.63</v>
          </cell>
          <cell r="H75">
            <v>4830592.97</v>
          </cell>
          <cell r="I75">
            <v>3399904</v>
          </cell>
          <cell r="J75">
            <v>3456560</v>
          </cell>
          <cell r="K75">
            <v>5987648</v>
          </cell>
          <cell r="L75">
            <v>7923541</v>
          </cell>
          <cell r="M75">
            <v>8829449</v>
          </cell>
          <cell r="N75">
            <v>13647850</v>
          </cell>
          <cell r="P75">
            <v>2898960</v>
          </cell>
          <cell r="Q75">
            <v>2899500</v>
          </cell>
        </row>
        <row r="77">
          <cell r="A77" t="str">
            <v>Contingencies</v>
          </cell>
          <cell r="B77">
            <v>0</v>
          </cell>
          <cell r="C77">
            <v>0</v>
          </cell>
          <cell r="D77">
            <v>0</v>
          </cell>
          <cell r="E77">
            <v>0</v>
          </cell>
          <cell r="F77">
            <v>0</v>
          </cell>
          <cell r="G77">
            <v>0</v>
          </cell>
          <cell r="H77">
            <v>0</v>
          </cell>
          <cell r="I77">
            <v>0</v>
          </cell>
          <cell r="J77">
            <v>0</v>
          </cell>
          <cell r="K77">
            <v>0</v>
          </cell>
          <cell r="L77">
            <v>0</v>
          </cell>
          <cell r="M77">
            <v>0</v>
          </cell>
          <cell r="N77">
            <v>0</v>
          </cell>
          <cell r="P77">
            <v>1000000</v>
          </cell>
          <cell r="Q77">
            <v>1000000</v>
          </cell>
        </row>
        <row r="79">
          <cell r="A79" t="str">
            <v>Transfers &amp; Contingencies</v>
          </cell>
          <cell r="B79">
            <v>0</v>
          </cell>
          <cell r="C79">
            <v>280035</v>
          </cell>
          <cell r="D79">
            <v>168498</v>
          </cell>
          <cell r="E79">
            <v>2758899</v>
          </cell>
          <cell r="F79">
            <v>3290499</v>
          </cell>
          <cell r="G79">
            <v>5336429.63</v>
          </cell>
          <cell r="H79">
            <v>4830592.97</v>
          </cell>
          <cell r="I79">
            <v>3399904</v>
          </cell>
          <cell r="J79">
            <v>3456560</v>
          </cell>
          <cell r="K79">
            <v>5987648</v>
          </cell>
          <cell r="L79">
            <v>7923541</v>
          </cell>
          <cell r="M79">
            <v>8829449</v>
          </cell>
          <cell r="N79">
            <v>13647850</v>
          </cell>
          <cell r="P79">
            <v>3898960</v>
          </cell>
          <cell r="Q79">
            <v>3899500</v>
          </cell>
        </row>
        <row r="81">
          <cell r="A81" t="str">
            <v>Total Exp., Transfers and Contingencies</v>
          </cell>
          <cell r="B81">
            <v>4620088</v>
          </cell>
          <cell r="C81">
            <v>6663818</v>
          </cell>
          <cell r="D81">
            <v>11006892</v>
          </cell>
          <cell r="E81">
            <v>20294730.129999999</v>
          </cell>
          <cell r="F81">
            <v>26980937.420000002</v>
          </cell>
          <cell r="G81">
            <v>32678686.759999998</v>
          </cell>
          <cell r="H81">
            <v>44189283.609999999</v>
          </cell>
          <cell r="I81">
            <v>47926824.140000001</v>
          </cell>
          <cell r="J81">
            <v>55609263</v>
          </cell>
          <cell r="K81">
            <v>59438882.04999999</v>
          </cell>
          <cell r="L81">
            <v>61064432.229999997</v>
          </cell>
          <cell r="M81">
            <v>72408095.650000006</v>
          </cell>
          <cell r="N81">
            <v>83382729</v>
          </cell>
          <cell r="P81">
            <v>89029692</v>
          </cell>
          <cell r="Q81">
            <v>91350870.16660893</v>
          </cell>
        </row>
        <row r="82">
          <cell r="A82" t="str">
            <v>Net Increase/(Decrease) For the Fiscal Year</v>
          </cell>
          <cell r="B82">
            <v>143571</v>
          </cell>
          <cell r="C82">
            <v>1649723</v>
          </cell>
          <cell r="D82">
            <v>-175595</v>
          </cell>
          <cell r="E82">
            <v>746344.49000000209</v>
          </cell>
          <cell r="F82">
            <v>2628599.3799999952</v>
          </cell>
          <cell r="G82">
            <v>1654705.6700000009</v>
          </cell>
          <cell r="H82">
            <v>4927668.3899999997</v>
          </cell>
          <cell r="I82">
            <v>3030158.8599999994</v>
          </cell>
          <cell r="J82">
            <v>1658386</v>
          </cell>
          <cell r="K82">
            <v>3359979.9500000104</v>
          </cell>
          <cell r="L82">
            <v>3317957.7700000033</v>
          </cell>
          <cell r="M82">
            <v>1542283.349999994</v>
          </cell>
          <cell r="N82">
            <v>-121115.09000000358</v>
          </cell>
          <cell r="P82">
            <v>-0.31119999289512634</v>
          </cell>
          <cell r="Q82">
            <v>0</v>
          </cell>
        </row>
        <row r="84">
          <cell r="A84" t="str">
            <v>Beginning Fund Balance</v>
          </cell>
          <cell r="B84">
            <v>0</v>
          </cell>
          <cell r="C84">
            <v>143571</v>
          </cell>
          <cell r="D84">
            <v>1999665</v>
          </cell>
          <cell r="E84">
            <v>1824070</v>
          </cell>
          <cell r="F84">
            <v>2570414</v>
          </cell>
          <cell r="G84">
            <v>5199013</v>
          </cell>
          <cell r="H84">
            <v>6853718.6700000009</v>
          </cell>
          <cell r="I84">
            <v>11781387.060000001</v>
          </cell>
          <cell r="J84">
            <v>17288436.920000002</v>
          </cell>
          <cell r="K84">
            <v>19066791.920000002</v>
          </cell>
          <cell r="L84">
            <v>22426771.870000012</v>
          </cell>
          <cell r="M84">
            <v>25744728.640000015</v>
          </cell>
          <cell r="N84">
            <v>27287010.99000001</v>
          </cell>
          <cell r="P84">
            <v>27165895.900000006</v>
          </cell>
          <cell r="Q84">
            <v>27165895.588800013</v>
          </cell>
        </row>
        <row r="85">
          <cell r="A85" t="str">
            <v xml:space="preserve">   Restatements (Prior Period Adjustments)</v>
          </cell>
          <cell r="C85">
            <v>206371</v>
          </cell>
          <cell r="I85">
            <v>2476893</v>
          </cell>
          <cell r="J85">
            <v>119969</v>
          </cell>
        </row>
        <row r="86">
          <cell r="A86" t="str">
            <v>Ending Fund Balance</v>
          </cell>
          <cell r="B86">
            <v>143571</v>
          </cell>
          <cell r="C86">
            <v>1999665</v>
          </cell>
          <cell r="D86">
            <v>1824070</v>
          </cell>
          <cell r="E86">
            <v>2570414.4900000021</v>
          </cell>
          <cell r="F86">
            <v>5199013.3799999952</v>
          </cell>
          <cell r="G86">
            <v>6853718.6700000009</v>
          </cell>
          <cell r="H86">
            <v>11781387.060000001</v>
          </cell>
          <cell r="I86">
            <v>17288436.920000002</v>
          </cell>
          <cell r="J86">
            <v>19066791.920000002</v>
          </cell>
          <cell r="K86">
            <v>22426771.870000012</v>
          </cell>
          <cell r="L86">
            <v>25744728.640000015</v>
          </cell>
          <cell r="M86">
            <v>27287010.99000001</v>
          </cell>
          <cell r="N86">
            <v>27165895.900000006</v>
          </cell>
          <cell r="P86">
            <v>27165895.588800013</v>
          </cell>
          <cell r="Q86">
            <v>27165895.588800013</v>
          </cell>
        </row>
        <row r="87">
          <cell r="A87" t="str">
            <v>Less Budget Carryover</v>
          </cell>
          <cell r="I87">
            <v>0</v>
          </cell>
          <cell r="J87">
            <v>314955</v>
          </cell>
          <cell r="K87">
            <v>0</v>
          </cell>
          <cell r="L87">
            <v>0</v>
          </cell>
          <cell r="M87">
            <v>0</v>
          </cell>
        </row>
        <row r="88">
          <cell r="A88" t="str">
            <v>Ending Fund Balance (after carryover)</v>
          </cell>
          <cell r="B88">
            <v>143571</v>
          </cell>
          <cell r="C88">
            <v>1999665</v>
          </cell>
          <cell r="D88">
            <v>1824070</v>
          </cell>
          <cell r="E88">
            <v>2570414.4900000021</v>
          </cell>
          <cell r="F88">
            <v>5199013.3799999952</v>
          </cell>
          <cell r="G88">
            <v>6853718.6700000009</v>
          </cell>
          <cell r="H88">
            <v>11781387.060000001</v>
          </cell>
          <cell r="I88">
            <v>17288436.920000002</v>
          </cell>
          <cell r="J88">
            <v>18751836.920000002</v>
          </cell>
          <cell r="K88">
            <v>22426771.870000012</v>
          </cell>
          <cell r="L88">
            <v>25744728.640000015</v>
          </cell>
          <cell r="M88">
            <v>27287010.99000001</v>
          </cell>
          <cell r="N88">
            <v>27165895.900000006</v>
          </cell>
          <cell r="P88">
            <v>27165895.588800013</v>
          </cell>
          <cell r="Q88">
            <v>27165895.588800013</v>
          </cell>
        </row>
        <row r="90">
          <cell r="A90" t="str">
            <v>1) Tuition Revenue decreased from FY '03 on, due to a decrease in Sring term.  Percentages used are based on actuals for FY'01 - 43.1% (Fall) 41.9% (Spring) &amp; 15% (Summer)</v>
          </cell>
        </row>
        <row r="92">
          <cell r="A92" t="str">
            <v>ANALYSIS OF TUITION &amp; FEES REVENUES</v>
          </cell>
          <cell r="B92" t="str">
            <v>Data Not Available</v>
          </cell>
          <cell r="I92" t="str">
            <v>Data Not Available</v>
          </cell>
        </row>
        <row r="93">
          <cell r="A93" t="str">
            <v>w/o Concurrent Enrollment</v>
          </cell>
          <cell r="B93" t="str">
            <v>FY 93/94</v>
          </cell>
          <cell r="C93" t="str">
            <v>FY 94/95</v>
          </cell>
          <cell r="D93" t="str">
            <v>FY 95/96</v>
          </cell>
          <cell r="E93" t="str">
            <v>FY 96/97</v>
          </cell>
          <cell r="F93" t="str">
            <v>FY 97/98</v>
          </cell>
          <cell r="G93" t="str">
            <v>FY 98/99</v>
          </cell>
          <cell r="H93" t="str">
            <v>FY 99/00</v>
          </cell>
          <cell r="I93" t="str">
            <v>FY 00/01</v>
          </cell>
          <cell r="J93" t="str">
            <v>FY 01/02</v>
          </cell>
          <cell r="K93" t="str">
            <v>FY 02/03</v>
          </cell>
          <cell r="L93" t="str">
            <v>FY 03/04</v>
          </cell>
          <cell r="M93" t="str">
            <v>FY 04/05</v>
          </cell>
          <cell r="N93" t="str">
            <v>FY 05/06</v>
          </cell>
          <cell r="P93" t="str">
            <v>FY 06/07</v>
          </cell>
          <cell r="Q93" t="str">
            <v>FY 07/8</v>
          </cell>
        </row>
        <row r="95">
          <cell r="A95" t="str">
            <v>Total Tuition Revenue</v>
          </cell>
          <cell r="J95">
            <v>12433854</v>
          </cell>
          <cell r="K95">
            <v>13055391</v>
          </cell>
          <cell r="L95">
            <v>13708108</v>
          </cell>
          <cell r="M95">
            <v>14941828</v>
          </cell>
          <cell r="N95">
            <v>16063296</v>
          </cell>
          <cell r="P95">
            <v>17106813</v>
          </cell>
          <cell r="Q95">
            <v>18133700</v>
          </cell>
        </row>
        <row r="96">
          <cell r="A96" t="str">
            <v xml:space="preserve">   Less: Concurrent Enroll. Rev.</v>
          </cell>
          <cell r="J96">
            <v>742123.16999999993</v>
          </cell>
          <cell r="K96">
            <v>771909.1799999997</v>
          </cell>
          <cell r="L96">
            <v>810998.99000000022</v>
          </cell>
          <cell r="M96">
            <v>884187.00999999978</v>
          </cell>
          <cell r="N96">
            <v>950128.74000000022</v>
          </cell>
          <cell r="P96">
            <v>1012498.5299999993</v>
          </cell>
          <cell r="Q96">
            <v>1072457.8399999999</v>
          </cell>
        </row>
        <row r="97">
          <cell r="A97" t="str">
            <v>Net Tuition Revenue</v>
          </cell>
          <cell r="J97">
            <v>11691730.83</v>
          </cell>
          <cell r="K97">
            <v>12283481.82</v>
          </cell>
          <cell r="L97">
            <v>12897109.01</v>
          </cell>
          <cell r="M97">
            <v>14057640.99</v>
          </cell>
          <cell r="N97">
            <v>15113167.26</v>
          </cell>
          <cell r="P97">
            <v>16094314.470000001</v>
          </cell>
          <cell r="Q97">
            <v>17061242.16</v>
          </cell>
        </row>
        <row r="99">
          <cell r="A99" t="str">
            <v>Total Registration Fees Revenue</v>
          </cell>
          <cell r="J99">
            <v>1767473.44</v>
          </cell>
          <cell r="K99">
            <v>1855824.95</v>
          </cell>
          <cell r="L99">
            <v>1948608.81</v>
          </cell>
          <cell r="M99">
            <v>2123982.12</v>
          </cell>
          <cell r="N99">
            <v>2283398.98</v>
          </cell>
          <cell r="P99">
            <v>2431734.96</v>
          </cell>
          <cell r="Q99">
            <v>2577707.02</v>
          </cell>
        </row>
        <row r="100">
          <cell r="A100" t="str">
            <v xml:space="preserve">   Less: Concurrent Enroll. Rev.</v>
          </cell>
          <cell r="J100">
            <v>188227.12999999989</v>
          </cell>
          <cell r="K100">
            <v>196648.59999999986</v>
          </cell>
          <cell r="L100">
            <v>206547.51</v>
          </cell>
          <cell r="M100">
            <v>225163.38000000012</v>
          </cell>
          <cell r="N100">
            <v>242006.31000000006</v>
          </cell>
          <cell r="P100">
            <v>257815.0299999998</v>
          </cell>
          <cell r="Q100">
            <v>273180.51000000024</v>
          </cell>
        </row>
        <row r="101">
          <cell r="A101" t="str">
            <v>Net Reg. Fees Revenue</v>
          </cell>
          <cell r="J101">
            <v>1579246.31</v>
          </cell>
          <cell r="K101">
            <v>1659176.35</v>
          </cell>
          <cell r="L101">
            <v>1742061.3</v>
          </cell>
          <cell r="M101">
            <v>1898818.74</v>
          </cell>
          <cell r="N101">
            <v>2041392.67</v>
          </cell>
          <cell r="P101">
            <v>2173919.9300000002</v>
          </cell>
          <cell r="Q101">
            <v>2304526.5099999998</v>
          </cell>
        </row>
        <row r="103">
          <cell r="A103" t="str">
            <v>Total Incidental Fees Revenue</v>
          </cell>
          <cell r="J103">
            <v>638926.31999999995</v>
          </cell>
          <cell r="K103">
            <v>671257.41</v>
          </cell>
          <cell r="L103">
            <v>704817.61</v>
          </cell>
          <cell r="M103">
            <v>768250.66</v>
          </cell>
          <cell r="N103">
            <v>825912.21</v>
          </cell>
          <cell r="P103">
            <v>879565.77</v>
          </cell>
          <cell r="Q103">
            <v>932364.3</v>
          </cell>
        </row>
        <row r="104">
          <cell r="A104" t="str">
            <v xml:space="preserve">   Less: Concurrent Enroll. Rev.</v>
          </cell>
          <cell r="J104">
            <v>63892.630000000005</v>
          </cell>
          <cell r="K104">
            <v>67125.739999999991</v>
          </cell>
          <cell r="L104">
            <v>70481.760000000009</v>
          </cell>
          <cell r="M104">
            <v>76825.070000000065</v>
          </cell>
          <cell r="N104">
            <v>82591.219999999972</v>
          </cell>
          <cell r="P104">
            <v>87956.570000000065</v>
          </cell>
          <cell r="Q104">
            <v>93236.430000000051</v>
          </cell>
        </row>
        <row r="105">
          <cell r="A105" t="str">
            <v>Net Incidental Fees Revenue</v>
          </cell>
          <cell r="J105">
            <v>575033.68999999994</v>
          </cell>
          <cell r="K105">
            <v>604131.67000000004</v>
          </cell>
          <cell r="L105">
            <v>634335.85</v>
          </cell>
          <cell r="M105">
            <v>691425.59</v>
          </cell>
          <cell r="N105">
            <v>743320.99</v>
          </cell>
          <cell r="P105">
            <v>791609.2</v>
          </cell>
          <cell r="Q105">
            <v>839127.87</v>
          </cell>
        </row>
        <row r="107">
          <cell r="A107" t="str">
            <v>Total Tuition &amp; Fee Revenues</v>
          </cell>
          <cell r="B107">
            <v>0</v>
          </cell>
          <cell r="C107">
            <v>0</v>
          </cell>
          <cell r="D107">
            <v>0</v>
          </cell>
          <cell r="E107">
            <v>0</v>
          </cell>
          <cell r="F107">
            <v>0</v>
          </cell>
          <cell r="G107">
            <v>0</v>
          </cell>
          <cell r="H107">
            <v>0</v>
          </cell>
          <cell r="I107">
            <v>0</v>
          </cell>
          <cell r="J107">
            <v>14840253.76</v>
          </cell>
          <cell r="K107">
            <v>15582473.359999999</v>
          </cell>
          <cell r="L107">
            <v>16361534.42</v>
          </cell>
          <cell r="M107">
            <v>17834060.780000001</v>
          </cell>
          <cell r="N107">
            <v>19172607.190000001</v>
          </cell>
          <cell r="P107">
            <v>20418113.73</v>
          </cell>
          <cell r="Q107">
            <v>21643771.32</v>
          </cell>
        </row>
        <row r="108">
          <cell r="A108" t="str">
            <v xml:space="preserve">   Less: Total Concurrent Rev.</v>
          </cell>
          <cell r="B108">
            <v>0</v>
          </cell>
          <cell r="C108">
            <v>0</v>
          </cell>
          <cell r="D108">
            <v>0</v>
          </cell>
          <cell r="E108">
            <v>0</v>
          </cell>
          <cell r="F108">
            <v>0</v>
          </cell>
          <cell r="G108">
            <v>0</v>
          </cell>
          <cell r="H108">
            <v>0</v>
          </cell>
          <cell r="I108">
            <v>0</v>
          </cell>
          <cell r="J108">
            <v>994242.92999999982</v>
          </cell>
          <cell r="K108">
            <v>1035683.5199999996</v>
          </cell>
          <cell r="L108">
            <v>1088028.2600000002</v>
          </cell>
          <cell r="M108">
            <v>1186175.46</v>
          </cell>
          <cell r="N108">
            <v>1274726.2700000003</v>
          </cell>
          <cell r="P108">
            <v>1358270.1299999992</v>
          </cell>
          <cell r="Q108">
            <v>1438874.7800000003</v>
          </cell>
        </row>
        <row r="109">
          <cell r="A109" t="str">
            <v>Total Net Revenues</v>
          </cell>
          <cell r="B109">
            <v>0</v>
          </cell>
          <cell r="C109">
            <v>0</v>
          </cell>
          <cell r="D109">
            <v>0</v>
          </cell>
          <cell r="E109">
            <v>0</v>
          </cell>
          <cell r="F109">
            <v>0</v>
          </cell>
          <cell r="G109">
            <v>0</v>
          </cell>
          <cell r="H109">
            <v>0</v>
          </cell>
          <cell r="I109">
            <v>0</v>
          </cell>
          <cell r="J109">
            <v>13846010.83</v>
          </cell>
          <cell r="K109">
            <v>14546789.84</v>
          </cell>
          <cell r="L109">
            <v>15273506.16</v>
          </cell>
          <cell r="M109">
            <v>16647885.32</v>
          </cell>
          <cell r="N109">
            <v>17897880.919999998</v>
          </cell>
          <cell r="P109">
            <v>19059843.600000001</v>
          </cell>
          <cell r="Q109">
            <v>20204896.540000003</v>
          </cell>
        </row>
        <row r="111">
          <cell r="A111" t="str">
            <v>Assumptions:</v>
          </cell>
        </row>
        <row r="112">
          <cell r="A112" t="str">
            <v xml:space="preserve">Based on latest Student per Semester Credit Hours projection of 11,319 less concurrent enrollment of 1,199 students (10.6%). </v>
          </cell>
        </row>
        <row r="115">
          <cell r="I115" t="str">
            <v>Actual FY 01</v>
          </cell>
          <cell r="J115" t="str">
            <v>Actual FY 02</v>
          </cell>
        </row>
        <row r="117">
          <cell r="A117" t="str">
            <v>Historical &amp; Budgeted Percentages</v>
          </cell>
        </row>
        <row r="118">
          <cell r="A118" t="str">
            <v>Revenues:</v>
          </cell>
          <cell r="H118" t="str">
            <v>4 Yr. Avg.</v>
          </cell>
          <cell r="I118" t="str">
            <v>Budget %</v>
          </cell>
          <cell r="J118" t="str">
            <v>Budget %</v>
          </cell>
          <cell r="K118" t="str">
            <v>Budget %</v>
          </cell>
          <cell r="L118" t="str">
            <v>Budget %</v>
          </cell>
          <cell r="M118" t="str">
            <v>Budget %</v>
          </cell>
          <cell r="N118" t="str">
            <v>Budget %</v>
          </cell>
        </row>
        <row r="119">
          <cell r="A119" t="str">
            <v xml:space="preserve">   State Appropriations</v>
          </cell>
          <cell r="B119">
            <v>0.82606122730447329</v>
          </cell>
          <cell r="C119">
            <v>0.74852436524941657</v>
          </cell>
          <cell r="D119">
            <v>0.59737970438812638</v>
          </cell>
          <cell r="E119">
            <v>0.31022436107041196</v>
          </cell>
          <cell r="F119">
            <v>0.34544521479984786</v>
          </cell>
          <cell r="G119">
            <v>0.31787655275403848</v>
          </cell>
          <cell r="H119">
            <v>0.39273145825310618</v>
          </cell>
          <cell r="I119">
            <v>0.44194981088264196</v>
          </cell>
          <cell r="J119">
            <v>0.41242193454768966</v>
          </cell>
          <cell r="K119">
            <v>0.36346648070575677</v>
          </cell>
          <cell r="L119">
            <v>0.37477256785943225</v>
          </cell>
          <cell r="M119">
            <v>0.33732117857029509</v>
          </cell>
        </row>
        <row r="120">
          <cell r="A120" t="str">
            <v xml:space="preserve">   Tuition</v>
          </cell>
          <cell r="B120">
            <v>0.1679129425510936</v>
          </cell>
          <cell r="C120">
            <v>0.18641070032613058</v>
          </cell>
          <cell r="D120">
            <v>0.21616238572351953</v>
          </cell>
          <cell r="E120">
            <v>0.16011778014966138</v>
          </cell>
          <cell r="F120">
            <v>0.16819101337647405</v>
          </cell>
          <cell r="G120">
            <v>0.18655968859060981</v>
          </cell>
          <cell r="H120">
            <v>0.18275771696006618</v>
          </cell>
          <cell r="I120">
            <v>0.23143263799585623</v>
          </cell>
          <cell r="J120">
            <v>0.2347695077412815</v>
          </cell>
          <cell r="K120">
            <v>0.22953573950967041</v>
          </cell>
          <cell r="L120">
            <v>0.19610899508221122</v>
          </cell>
          <cell r="M120">
            <v>0.26227270586402268</v>
          </cell>
        </row>
        <row r="121">
          <cell r="A121" t="str">
            <v xml:space="preserve">   Fees</v>
          </cell>
          <cell r="C121">
            <v>5.1630947631099669E-2</v>
          </cell>
          <cell r="D121">
            <v>0.17098746345890062</v>
          </cell>
          <cell r="E121">
            <v>0.1589121382485805</v>
          </cell>
          <cell r="F121">
            <v>0.17481725685084004</v>
          </cell>
          <cell r="G121">
            <v>0.20307888345771605</v>
          </cell>
          <cell r="H121">
            <v>0.17694893550400931</v>
          </cell>
          <cell r="I121">
            <v>5.7299999999999997E-2</v>
          </cell>
          <cell r="J121">
            <v>7.1900000000000006E-2</v>
          </cell>
          <cell r="K121">
            <v>7.6399999999999996E-2</v>
          </cell>
          <cell r="L121">
            <v>9.3100000000000002E-2</v>
          </cell>
          <cell r="M121">
            <v>6.2835215489564972E-2</v>
          </cell>
        </row>
        <row r="122">
          <cell r="A122" t="str">
            <v xml:space="preserve">   Taxes</v>
          </cell>
          <cell r="E122">
            <v>0.35409847114065651</v>
          </cell>
          <cell r="F122">
            <v>0.2924159556592591</v>
          </cell>
          <cell r="G122">
            <v>0.27142001825189288</v>
          </cell>
          <cell r="H122">
            <v>0.22948361126295214</v>
          </cell>
          <cell r="I122">
            <v>0.22108977684177261</v>
          </cell>
          <cell r="J122">
            <v>0.22323315170082936</v>
          </cell>
          <cell r="K122">
            <v>0.29991703193470343</v>
          </cell>
          <cell r="L122">
            <v>0.31430522671952338</v>
          </cell>
          <cell r="M122">
            <v>0.30906167499155074</v>
          </cell>
        </row>
        <row r="123">
          <cell r="A123" t="str">
            <v xml:space="preserve">   Other</v>
          </cell>
          <cell r="B123">
            <v>6.0258301444330925E-3</v>
          </cell>
          <cell r="C123">
            <v>1.3433986793353158E-2</v>
          </cell>
          <cell r="D123">
            <v>1.5470446429453463E-2</v>
          </cell>
          <cell r="E123">
            <v>1.6647249390689598E-2</v>
          </cell>
          <cell r="F123">
            <v>1.9130559313578998E-2</v>
          </cell>
          <cell r="G123">
            <v>2.1064856945742835E-2</v>
          </cell>
          <cell r="H123">
            <v>1.8078278019866223E-2</v>
          </cell>
          <cell r="I123">
            <v>4.8193571428669549E-2</v>
          </cell>
          <cell r="J123">
            <v>5.7671582472827151E-2</v>
          </cell>
          <cell r="K123">
            <v>3.0723200537028848E-2</v>
          </cell>
          <cell r="L123">
            <v>3.1216237371488736E-2</v>
          </cell>
          <cell r="M123">
            <v>4.1681598413444237E-2</v>
          </cell>
        </row>
        <row r="124">
          <cell r="A124" t="str">
            <v>Total</v>
          </cell>
          <cell r="B124">
            <v>1</v>
          </cell>
          <cell r="C124">
            <v>1</v>
          </cell>
          <cell r="D124">
            <v>1</v>
          </cell>
          <cell r="E124">
            <v>1</v>
          </cell>
          <cell r="F124">
            <v>1.0000000000000002</v>
          </cell>
          <cell r="G124">
            <v>1</v>
          </cell>
          <cell r="H124">
            <v>1</v>
          </cell>
          <cell r="I124">
            <v>0.99996579714894029</v>
          </cell>
          <cell r="J124">
            <v>0.99999617646262762</v>
          </cell>
          <cell r="K124">
            <v>1.0000424526871594</v>
          </cell>
          <cell r="L124">
            <v>1.0095030270326557</v>
          </cell>
          <cell r="M124">
            <v>1.0131723733288778</v>
          </cell>
        </row>
        <row r="126">
          <cell r="A126" t="str">
            <v>Expenditures:</v>
          </cell>
        </row>
        <row r="127">
          <cell r="A127" t="str">
            <v xml:space="preserve">   Salaries and Wages</v>
          </cell>
          <cell r="B127">
            <v>0.58318260171667724</v>
          </cell>
          <cell r="C127">
            <v>0.68543228991336325</v>
          </cell>
          <cell r="D127">
            <v>0.56300213850871261</v>
          </cell>
          <cell r="E127">
            <v>0.57060249530356877</v>
          </cell>
          <cell r="F127">
            <v>0.5915842092718856</v>
          </cell>
          <cell r="G127">
            <v>0.65275972774088242</v>
          </cell>
          <cell r="H127">
            <v>0.59448714270626235</v>
          </cell>
          <cell r="I127">
            <v>0.58429520654468514</v>
          </cell>
          <cell r="J127">
            <v>0.56075340908025417</v>
          </cell>
          <cell r="K127">
            <v>0.60763325519516243</v>
          </cell>
          <cell r="L127">
            <v>0.6195808959525424</v>
          </cell>
          <cell r="M127">
            <v>0.58381961485177347</v>
          </cell>
        </row>
        <row r="128">
          <cell r="A128" t="str">
            <v xml:space="preserve">   Benefits</v>
          </cell>
          <cell r="C128">
            <v>0.10372767996656528</v>
          </cell>
          <cell r="D128">
            <v>0.11288439135908881</v>
          </cell>
          <cell r="E128">
            <v>0.12156088435142223</v>
          </cell>
          <cell r="F128">
            <v>0.12450628889627782</v>
          </cell>
          <cell r="G128">
            <v>0.13436946929918658</v>
          </cell>
          <cell r="H128">
            <v>0.12333025847649387</v>
          </cell>
          <cell r="I128">
            <v>0.1318692180267198</v>
          </cell>
          <cell r="J128">
            <v>0.11744108450141118</v>
          </cell>
          <cell r="K128">
            <v>0.15567649162629579</v>
          </cell>
          <cell r="L128">
            <v>0.15540061163554558</v>
          </cell>
          <cell r="M128">
            <v>0.1436805347601717</v>
          </cell>
        </row>
        <row r="129">
          <cell r="A129" t="str">
            <v xml:space="preserve">   Operating Expenditures</v>
          </cell>
          <cell r="B129">
            <v>0.32318997170616665</v>
          </cell>
          <cell r="C129">
            <v>9.5612585828810284E-2</v>
          </cell>
          <cell r="D129">
            <v>0.22429978555863536</v>
          </cell>
          <cell r="E129">
            <v>0.21232797592525632</v>
          </cell>
          <cell r="F129">
            <v>0.21363763136300792</v>
          </cell>
          <cell r="G129">
            <v>0.19315415822804824</v>
          </cell>
          <cell r="H129">
            <v>0.21085488776873698</v>
          </cell>
          <cell r="I129">
            <v>0.18602537462632598</v>
          </cell>
          <cell r="J129">
            <v>0.21582750178835408</v>
          </cell>
          <cell r="K129">
            <v>0.18688021703401628</v>
          </cell>
          <cell r="L129">
            <v>0.19407815001374412</v>
          </cell>
          <cell r="M129">
            <v>0.22365079927350104</v>
          </cell>
        </row>
        <row r="130">
          <cell r="A130" t="str">
            <v xml:space="preserve">   Travel</v>
          </cell>
          <cell r="D130">
            <v>8.5130730623005583E-3</v>
          </cell>
          <cell r="E130">
            <v>1.0982871503051479E-2</v>
          </cell>
          <cell r="F130">
            <v>1.3308480595016357E-2</v>
          </cell>
          <cell r="G130">
            <v>1.2849646550010337E-2</v>
          </cell>
          <cell r="H130">
            <v>1.1413517927594683E-2</v>
          </cell>
          <cell r="I130">
            <v>1.3501742274331036E-2</v>
          </cell>
          <cell r="J130">
            <v>1.2651739258845317E-2</v>
          </cell>
          <cell r="K130">
            <v>1.1011604698395176E-2</v>
          </cell>
          <cell r="L130">
            <v>1.2468757009215105E-2</v>
          </cell>
          <cell r="M130">
            <v>1.2140497803439796E-2</v>
          </cell>
        </row>
        <row r="131">
          <cell r="A131" t="str">
            <v xml:space="preserve">   Scholarships</v>
          </cell>
          <cell r="C131">
            <v>6.3551658945800631E-4</v>
          </cell>
          <cell r="D131">
            <v>9.1305040211677119E-4</v>
          </cell>
          <cell r="E131">
            <v>1.1722866083507958E-3</v>
          </cell>
          <cell r="F131">
            <v>1.1362077612407477E-3</v>
          </cell>
          <cell r="G131">
            <v>1.2091905888678182E-3</v>
          </cell>
          <cell r="H131">
            <v>1.1076838401440333E-3</v>
          </cell>
          <cell r="I131">
            <v>1.5656124380669999E-2</v>
          </cell>
          <cell r="J131">
            <v>2.3137746091511306E-2</v>
          </cell>
          <cell r="K131">
            <v>2.8766451838355647E-2</v>
          </cell>
          <cell r="L131">
            <v>0</v>
          </cell>
          <cell r="M131">
            <v>0</v>
          </cell>
        </row>
        <row r="132">
          <cell r="A132" t="str">
            <v xml:space="preserve">   Capital Outlay</v>
          </cell>
          <cell r="B132">
            <v>9.3627426577156114E-2</v>
          </cell>
          <cell r="C132">
            <v>0.11459192770180315</v>
          </cell>
          <cell r="D132">
            <v>9.0387561109145878E-2</v>
          </cell>
          <cell r="E132">
            <v>8.3353486308350419E-2</v>
          </cell>
          <cell r="F132">
            <v>5.5827182112571469E-2</v>
          </cell>
          <cell r="G132">
            <v>5.657844166430016E-3</v>
          </cell>
          <cell r="H132">
            <v>5.8806518424124446E-2</v>
          </cell>
          <cell r="I132">
            <v>6.8652334147268054E-2</v>
          </cell>
          <cell r="J132">
            <v>4.8945420911357174E-2</v>
          </cell>
          <cell r="K132">
            <v>9.8674558104051863E-3</v>
          </cell>
          <cell r="L132">
            <v>1.8471585388952841E-2</v>
          </cell>
          <cell r="M132">
            <v>3.6708553311113924E-2</v>
          </cell>
        </row>
        <row r="133">
          <cell r="A133" t="str">
            <v xml:space="preserve">   Other Expenses</v>
          </cell>
          <cell r="H133">
            <v>0</v>
          </cell>
          <cell r="I133">
            <v>0</v>
          </cell>
          <cell r="J133">
            <v>2.1243098368266742E-2</v>
          </cell>
          <cell r="K133">
            <v>1.6452379736965123E-4</v>
          </cell>
          <cell r="L133">
            <v>0</v>
          </cell>
          <cell r="M133">
            <v>0</v>
          </cell>
        </row>
        <row r="134">
          <cell r="A134" t="str">
            <v>Total</v>
          </cell>
          <cell r="B134">
            <v>1</v>
          </cell>
          <cell r="C134">
            <v>1</v>
          </cell>
          <cell r="D134">
            <v>1</v>
          </cell>
          <cell r="E134">
            <v>0.99999999999999989</v>
          </cell>
          <cell r="F134">
            <v>0.99999999999999989</v>
          </cell>
          <cell r="G134">
            <v>1.0000000365734254</v>
          </cell>
          <cell r="H134">
            <v>1.0000000091433565</v>
          </cell>
          <cell r="I134">
            <v>0.99999999999999989</v>
          </cell>
          <cell r="J134">
            <v>1</v>
          </cell>
          <cell r="K134">
            <v>1.0000000000000002</v>
          </cell>
          <cell r="L134">
            <v>1</v>
          </cell>
          <cell r="M134">
            <v>1</v>
          </cell>
        </row>
      </sheetData>
      <sheetData sheetId="4"/>
      <sheetData sheetId="5"/>
      <sheetData sheetId="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I24"/>
  <sheetViews>
    <sheetView zoomScaleNormal="100" workbookViewId="0">
      <selection activeCell="B11" sqref="B11"/>
    </sheetView>
  </sheetViews>
  <sheetFormatPr defaultColWidth="8.88671875" defaultRowHeight="12.75" x14ac:dyDescent="0.2"/>
  <cols>
    <col min="1" max="1" width="2.6640625" style="225" customWidth="1"/>
    <col min="2" max="2" width="10.109375" style="225" customWidth="1"/>
    <col min="3" max="3" width="12" style="225" customWidth="1"/>
    <col min="4" max="4" width="9.5546875" style="225" customWidth="1"/>
    <col min="5" max="5" width="9.33203125" style="225" customWidth="1"/>
    <col min="6" max="6" width="15.44140625" style="225" customWidth="1"/>
    <col min="7" max="7" width="13.109375" style="225" bestFit="1" customWidth="1"/>
    <col min="8" max="8" width="3.21875" style="225" customWidth="1"/>
    <col min="9" max="16384" width="8.88671875" style="225"/>
  </cols>
  <sheetData>
    <row r="1" spans="1:8" ht="20.25" x14ac:dyDescent="0.3">
      <c r="A1" s="214" t="s">
        <v>0</v>
      </c>
      <c r="B1" s="218"/>
      <c r="C1" s="218"/>
      <c r="D1" s="218"/>
      <c r="E1" s="218"/>
      <c r="F1" s="218"/>
      <c r="G1" s="218"/>
      <c r="H1" s="224"/>
    </row>
    <row r="2" spans="1:8" s="227" customFormat="1" ht="18.75" x14ac:dyDescent="0.3">
      <c r="A2" s="268"/>
      <c r="B2" s="226" t="s">
        <v>1</v>
      </c>
      <c r="C2" s="226"/>
      <c r="D2" s="226"/>
      <c r="E2" s="226"/>
      <c r="F2" s="226"/>
      <c r="G2" s="226"/>
      <c r="H2" s="268"/>
    </row>
    <row r="3" spans="1:8" s="227" customFormat="1" ht="18.75" x14ac:dyDescent="0.3">
      <c r="A3" s="221"/>
      <c r="B3" s="226" t="s">
        <v>139</v>
      </c>
      <c r="C3" s="226"/>
      <c r="D3" s="226"/>
      <c r="E3" s="226"/>
      <c r="F3" s="226"/>
      <c r="G3" s="226"/>
      <c r="H3" s="268"/>
    </row>
    <row r="4" spans="1:8" s="227" customFormat="1" ht="18.75" x14ac:dyDescent="0.3">
      <c r="A4" s="221"/>
      <c r="B4" s="226" t="s">
        <v>74</v>
      </c>
      <c r="C4" s="226"/>
      <c r="D4" s="226"/>
      <c r="E4" s="226"/>
      <c r="F4" s="226"/>
      <c r="G4" s="226"/>
      <c r="H4" s="268"/>
    </row>
    <row r="5" spans="1:8" s="227" customFormat="1" ht="18.75" x14ac:dyDescent="0.3">
      <c r="A5" s="268"/>
      <c r="B5" s="226"/>
      <c r="C5" s="226"/>
      <c r="D5" s="226"/>
      <c r="E5" s="226"/>
      <c r="F5" s="226"/>
      <c r="G5" s="226"/>
      <c r="H5" s="268"/>
    </row>
    <row r="6" spans="1:8" s="227" customFormat="1" ht="18.75" x14ac:dyDescent="0.3">
      <c r="A6" s="268"/>
      <c r="B6" s="226"/>
      <c r="C6" s="226"/>
      <c r="D6" s="226"/>
      <c r="E6" s="226"/>
      <c r="F6" s="226"/>
      <c r="G6" s="226"/>
      <c r="H6" s="268"/>
    </row>
    <row r="7" spans="1:8" s="216" customFormat="1" ht="15.75" x14ac:dyDescent="0.25">
      <c r="A7" s="221"/>
      <c r="B7" s="221"/>
      <c r="C7" s="221"/>
      <c r="D7" s="221"/>
      <c r="E7" s="221"/>
      <c r="F7" s="221"/>
      <c r="G7" s="228"/>
      <c r="H7" s="221"/>
    </row>
    <row r="8" spans="1:8" s="216" customFormat="1" ht="15.75" x14ac:dyDescent="0.25">
      <c r="A8" s="221"/>
      <c r="B8" s="288" t="s">
        <v>140</v>
      </c>
      <c r="C8" s="289"/>
      <c r="D8" s="289"/>
      <c r="E8" s="289"/>
      <c r="F8" s="289"/>
      <c r="G8" s="290">
        <v>85533204</v>
      </c>
      <c r="H8" s="221"/>
    </row>
    <row r="9" spans="1:8" s="216" customFormat="1" ht="15.75" x14ac:dyDescent="0.25">
      <c r="A9" s="221"/>
      <c r="B9" s="270"/>
      <c r="C9" s="221"/>
      <c r="D9" s="221"/>
      <c r="E9" s="221"/>
      <c r="F9" s="221"/>
      <c r="G9" s="291"/>
      <c r="H9" s="221"/>
    </row>
    <row r="10" spans="1:8" s="216" customFormat="1" ht="15.75" x14ac:dyDescent="0.25">
      <c r="A10" s="221"/>
      <c r="B10" s="270" t="s">
        <v>78</v>
      </c>
      <c r="C10" s="221"/>
      <c r="D10" s="221"/>
      <c r="E10" s="221"/>
      <c r="F10" s="229"/>
      <c r="G10" s="291"/>
      <c r="H10" s="221"/>
    </row>
    <row r="11" spans="1:8" s="216" customFormat="1" ht="15.75" x14ac:dyDescent="0.25">
      <c r="A11" s="221"/>
      <c r="B11" s="270" t="s">
        <v>157</v>
      </c>
      <c r="C11" s="221"/>
      <c r="D11" s="221"/>
      <c r="E11" s="221"/>
      <c r="F11" s="221"/>
      <c r="G11" s="305">
        <v>3000000</v>
      </c>
      <c r="H11" s="221"/>
    </row>
    <row r="12" spans="1:8" s="216" customFormat="1" ht="15.75" x14ac:dyDescent="0.25">
      <c r="A12" s="221"/>
      <c r="B12" s="270" t="s">
        <v>107</v>
      </c>
      <c r="C12" s="221"/>
      <c r="D12" s="221"/>
      <c r="E12" s="221"/>
      <c r="F12" s="221"/>
      <c r="G12" s="305">
        <v>2000000</v>
      </c>
      <c r="H12" s="221"/>
    </row>
    <row r="13" spans="1:8" s="216" customFormat="1" ht="15.75" x14ac:dyDescent="0.25">
      <c r="A13" s="221"/>
      <c r="B13" s="270"/>
      <c r="C13" s="221"/>
      <c r="D13" s="221"/>
      <c r="E13" s="221"/>
      <c r="F13" s="221"/>
      <c r="G13" s="305"/>
      <c r="H13" s="221"/>
    </row>
    <row r="14" spans="1:8" s="216" customFormat="1" ht="15.75" x14ac:dyDescent="0.25">
      <c r="A14" s="221"/>
      <c r="B14" s="270" t="s">
        <v>104</v>
      </c>
      <c r="C14" s="221"/>
      <c r="D14" s="221"/>
      <c r="E14" s="221"/>
      <c r="F14" s="221"/>
      <c r="G14" s="306">
        <f>SUM(G11:G12)</f>
        <v>5000000</v>
      </c>
      <c r="H14" s="221"/>
    </row>
    <row r="15" spans="1:8" s="216" customFormat="1" ht="15.75" x14ac:dyDescent="0.25">
      <c r="A15" s="221"/>
      <c r="B15" s="278"/>
      <c r="C15" s="230"/>
      <c r="D15" s="230"/>
      <c r="E15" s="221"/>
      <c r="F15" s="221"/>
      <c r="G15" s="305"/>
      <c r="H15" s="221"/>
    </row>
    <row r="16" spans="1:8" s="216" customFormat="1" ht="18.75" x14ac:dyDescent="0.25">
      <c r="A16" s="221"/>
      <c r="B16" s="279" t="s">
        <v>103</v>
      </c>
      <c r="C16" s="285"/>
      <c r="D16" s="285"/>
      <c r="E16" s="285"/>
      <c r="F16" s="285"/>
      <c r="G16" s="307">
        <f>G8-G14</f>
        <v>80533204</v>
      </c>
      <c r="H16" s="221"/>
    </row>
    <row r="17" spans="1:9" ht="8.25" customHeight="1" x14ac:dyDescent="0.2">
      <c r="A17" s="267"/>
      <c r="B17" s="267"/>
      <c r="C17" s="267"/>
      <c r="D17" s="267"/>
      <c r="E17" s="267"/>
      <c r="F17" s="267"/>
      <c r="G17" s="269"/>
      <c r="H17" s="267"/>
    </row>
    <row r="20" spans="1:9" ht="30.75" hidden="1" customHeight="1" x14ac:dyDescent="0.2">
      <c r="A20" s="631" t="s">
        <v>2</v>
      </c>
      <c r="B20" s="631"/>
      <c r="C20" s="631"/>
      <c r="D20" s="631"/>
      <c r="E20" s="631"/>
      <c r="F20" s="631"/>
      <c r="G20" s="631"/>
      <c r="H20" s="631"/>
    </row>
    <row r="21" spans="1:9" x14ac:dyDescent="0.2">
      <c r="I21" s="231"/>
    </row>
    <row r="22" spans="1:9" x14ac:dyDescent="0.2">
      <c r="A22" s="631" t="s">
        <v>141</v>
      </c>
      <c r="B22" s="631"/>
      <c r="C22" s="631"/>
      <c r="D22" s="631"/>
      <c r="E22" s="631"/>
      <c r="F22" s="631"/>
      <c r="G22" s="631"/>
      <c r="H22" s="631"/>
    </row>
    <row r="23" spans="1:9" x14ac:dyDescent="0.2">
      <c r="A23" s="631"/>
      <c r="B23" s="631"/>
      <c r="C23" s="631"/>
      <c r="D23" s="631"/>
      <c r="E23" s="631"/>
      <c r="F23" s="631"/>
      <c r="G23" s="631"/>
      <c r="H23" s="631"/>
    </row>
    <row r="24" spans="1:9" x14ac:dyDescent="0.2">
      <c r="B24" s="231"/>
      <c r="C24" s="231"/>
      <c r="D24" s="231"/>
      <c r="E24" s="231"/>
    </row>
  </sheetData>
  <mergeCells count="2">
    <mergeCell ref="A20:H20"/>
    <mergeCell ref="A22:H23"/>
  </mergeCells>
  <printOptions horizontalCentered="1"/>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I42"/>
  <sheetViews>
    <sheetView zoomScaleNormal="100" workbookViewId="0">
      <selection activeCell="F8" sqref="F8"/>
    </sheetView>
  </sheetViews>
  <sheetFormatPr defaultColWidth="8.88671875" defaultRowHeight="15.75" x14ac:dyDescent="0.25"/>
  <cols>
    <col min="1" max="1" width="2.21875" style="216" customWidth="1"/>
    <col min="2" max="2" width="42.5546875" style="216" customWidth="1"/>
    <col min="3" max="3" width="15.6640625" style="216" customWidth="1"/>
    <col min="4" max="4" width="3.44140625" style="216" customWidth="1"/>
    <col min="5" max="5" width="8.88671875" style="216"/>
    <col min="6" max="6" width="10.77734375" style="216" bestFit="1" customWidth="1"/>
    <col min="7" max="7" width="8.88671875" style="216"/>
    <col min="8" max="9" width="11.21875" style="216" bestFit="1" customWidth="1"/>
    <col min="10" max="16384" width="8.88671875" style="216"/>
  </cols>
  <sheetData>
    <row r="1" spans="1:3" ht="20.25" x14ac:dyDescent="0.3">
      <c r="A1" s="214" t="s">
        <v>0</v>
      </c>
      <c r="B1" s="215"/>
      <c r="C1" s="215"/>
    </row>
    <row r="2" spans="1:3" ht="18.75" x14ac:dyDescent="0.3">
      <c r="A2" s="217" t="s">
        <v>138</v>
      </c>
      <c r="B2" s="215"/>
      <c r="C2" s="215"/>
    </row>
    <row r="3" spans="1:3" x14ac:dyDescent="0.25">
      <c r="A3" s="215" t="s">
        <v>108</v>
      </c>
      <c r="B3" s="215"/>
      <c r="C3" s="215"/>
    </row>
    <row r="6" spans="1:3" x14ac:dyDescent="0.25">
      <c r="A6" s="282" t="s">
        <v>3</v>
      </c>
      <c r="B6" s="283"/>
      <c r="C6" s="284"/>
    </row>
    <row r="7" spans="1:3" x14ac:dyDescent="0.25">
      <c r="A7" s="270"/>
      <c r="B7" s="221"/>
      <c r="C7" s="271"/>
    </row>
    <row r="8" spans="1:3" x14ac:dyDescent="0.25">
      <c r="A8" s="270" t="s">
        <v>109</v>
      </c>
      <c r="B8" s="221"/>
      <c r="C8" s="272">
        <v>163175686</v>
      </c>
    </row>
    <row r="9" spans="1:3" x14ac:dyDescent="0.25">
      <c r="A9" s="270"/>
      <c r="B9" s="221"/>
      <c r="C9" s="273"/>
    </row>
    <row r="10" spans="1:3" x14ac:dyDescent="0.25">
      <c r="A10" s="270"/>
      <c r="B10" s="221" t="s">
        <v>105</v>
      </c>
      <c r="C10" s="271"/>
    </row>
    <row r="11" spans="1:3" x14ac:dyDescent="0.25">
      <c r="A11" s="270"/>
      <c r="B11" s="274" t="s">
        <v>88</v>
      </c>
      <c r="C11" s="275">
        <v>0</v>
      </c>
    </row>
    <row r="12" spans="1:3" x14ac:dyDescent="0.25">
      <c r="A12" s="270"/>
      <c r="B12" s="274" t="s">
        <v>91</v>
      </c>
      <c r="C12" s="275">
        <v>-379318</v>
      </c>
    </row>
    <row r="13" spans="1:3" x14ac:dyDescent="0.25">
      <c r="A13" s="270"/>
      <c r="B13" s="274" t="s">
        <v>92</v>
      </c>
      <c r="C13" s="275">
        <v>-715138</v>
      </c>
    </row>
    <row r="14" spans="1:3" hidden="1" x14ac:dyDescent="0.25">
      <c r="A14" s="270"/>
      <c r="B14" s="221"/>
      <c r="C14" s="275"/>
    </row>
    <row r="15" spans="1:3" hidden="1" x14ac:dyDescent="0.25">
      <c r="A15" s="270"/>
      <c r="B15" s="276" t="s">
        <v>75</v>
      </c>
      <c r="C15" s="275"/>
    </row>
    <row r="16" spans="1:3" x14ac:dyDescent="0.25">
      <c r="A16" s="270"/>
      <c r="B16" s="276" t="s">
        <v>101</v>
      </c>
      <c r="C16" s="275">
        <v>2500000</v>
      </c>
    </row>
    <row r="17" spans="1:9" x14ac:dyDescent="0.25">
      <c r="A17" s="270"/>
      <c r="B17" s="276" t="s">
        <v>82</v>
      </c>
      <c r="C17" s="277">
        <v>1000000</v>
      </c>
    </row>
    <row r="18" spans="1:9" hidden="1" x14ac:dyDescent="0.25">
      <c r="A18" s="270"/>
      <c r="B18" s="276" t="s">
        <v>4</v>
      </c>
      <c r="C18" s="277"/>
    </row>
    <row r="19" spans="1:9" ht="3.75" hidden="1" customHeight="1" x14ac:dyDescent="0.25">
      <c r="A19" s="270"/>
      <c r="B19" s="221"/>
      <c r="C19" s="273"/>
      <c r="D19" s="221"/>
    </row>
    <row r="20" spans="1:9" x14ac:dyDescent="0.25">
      <c r="A20" s="270"/>
      <c r="B20" s="221"/>
      <c r="C20" s="273"/>
      <c r="D20" s="221"/>
    </row>
    <row r="21" spans="1:9" x14ac:dyDescent="0.25">
      <c r="A21" s="279" t="s">
        <v>111</v>
      </c>
      <c r="B21" s="280"/>
      <c r="C21" s="281">
        <f>SUM(C8:C20)</f>
        <v>165581230</v>
      </c>
      <c r="F21" s="216" t="s">
        <v>81</v>
      </c>
    </row>
    <row r="22" spans="1:9" x14ac:dyDescent="0.25">
      <c r="C22" s="222"/>
      <c r="F22" s="219">
        <f>C21-C41</f>
        <v>0</v>
      </c>
    </row>
    <row r="23" spans="1:9" x14ac:dyDescent="0.25">
      <c r="C23" s="220"/>
      <c r="G23" s="234"/>
      <c r="H23" s="233"/>
      <c r="I23" s="234"/>
    </row>
    <row r="24" spans="1:9" x14ac:dyDescent="0.25">
      <c r="C24" s="220"/>
      <c r="G24" s="234"/>
      <c r="H24" s="233"/>
      <c r="I24" s="234"/>
    </row>
    <row r="25" spans="1:9" x14ac:dyDescent="0.25">
      <c r="A25" s="282" t="s">
        <v>137</v>
      </c>
      <c r="B25" s="283"/>
      <c r="C25" s="286"/>
      <c r="H25" s="233"/>
      <c r="I25" s="234"/>
    </row>
    <row r="26" spans="1:9" x14ac:dyDescent="0.25">
      <c r="A26" s="270"/>
      <c r="B26" s="221"/>
      <c r="C26" s="273"/>
    </row>
    <row r="27" spans="1:9" x14ac:dyDescent="0.25">
      <c r="A27" s="270" t="s">
        <v>110</v>
      </c>
      <c r="B27" s="221"/>
      <c r="C27" s="272">
        <v>163175686</v>
      </c>
    </row>
    <row r="28" spans="1:9" x14ac:dyDescent="0.25">
      <c r="A28" s="270"/>
      <c r="B28" s="221"/>
      <c r="C28" s="273"/>
    </row>
    <row r="29" spans="1:9" x14ac:dyDescent="0.25">
      <c r="A29" s="270"/>
      <c r="B29" s="221" t="s">
        <v>80</v>
      </c>
      <c r="C29" s="271"/>
    </row>
    <row r="30" spans="1:9" x14ac:dyDescent="0.25">
      <c r="A30" s="270"/>
      <c r="B30" s="274" t="s">
        <v>93</v>
      </c>
      <c r="C30" s="287">
        <v>-383060</v>
      </c>
    </row>
    <row r="31" spans="1:9" hidden="1" x14ac:dyDescent="0.25">
      <c r="A31" s="270"/>
      <c r="B31" s="274" t="s">
        <v>94</v>
      </c>
      <c r="C31" s="287">
        <v>0</v>
      </c>
    </row>
    <row r="32" spans="1:9" x14ac:dyDescent="0.25">
      <c r="A32" s="270"/>
      <c r="B32" s="274" t="s">
        <v>95</v>
      </c>
      <c r="C32" s="287">
        <v>-656674</v>
      </c>
    </row>
    <row r="33" spans="1:4" x14ac:dyDescent="0.25">
      <c r="A33" s="270"/>
      <c r="B33" s="274" t="s">
        <v>96</v>
      </c>
      <c r="C33" s="287">
        <v>-54722</v>
      </c>
    </row>
    <row r="34" spans="1:4" hidden="1" x14ac:dyDescent="0.25">
      <c r="A34" s="270"/>
      <c r="B34" s="274" t="s">
        <v>97</v>
      </c>
      <c r="C34" s="275">
        <v>0</v>
      </c>
    </row>
    <row r="35" spans="1:4" hidden="1" x14ac:dyDescent="0.25">
      <c r="A35" s="270"/>
      <c r="B35" s="274"/>
      <c r="C35" s="275"/>
    </row>
    <row r="36" spans="1:4" x14ac:dyDescent="0.25">
      <c r="A36" s="270"/>
      <c r="B36" s="276" t="s">
        <v>102</v>
      </c>
      <c r="C36" s="275">
        <v>2500000</v>
      </c>
    </row>
    <row r="37" spans="1:4" x14ac:dyDescent="0.25">
      <c r="A37" s="270"/>
      <c r="B37" s="276" t="s">
        <v>106</v>
      </c>
      <c r="C37" s="277">
        <v>1000000</v>
      </c>
    </row>
    <row r="38" spans="1:4" hidden="1" x14ac:dyDescent="0.25">
      <c r="A38" s="270"/>
      <c r="B38" s="276" t="s">
        <v>5</v>
      </c>
      <c r="C38" s="275"/>
    </row>
    <row r="39" spans="1:4" ht="3.75" hidden="1" customHeight="1" x14ac:dyDescent="0.25">
      <c r="A39" s="270"/>
      <c r="B39" s="221"/>
      <c r="C39" s="273"/>
      <c r="D39" s="221"/>
    </row>
    <row r="40" spans="1:4" x14ac:dyDescent="0.25">
      <c r="A40" s="270"/>
      <c r="B40" s="221" t="s">
        <v>79</v>
      </c>
      <c r="C40" s="273"/>
      <c r="D40" s="221"/>
    </row>
    <row r="41" spans="1:4" s="223" customFormat="1" x14ac:dyDescent="0.25">
      <c r="A41" s="279" t="s">
        <v>112</v>
      </c>
      <c r="B41" s="285"/>
      <c r="C41" s="281">
        <f>SUM(C27:C40)</f>
        <v>165581230</v>
      </c>
    </row>
    <row r="42" spans="1:4" x14ac:dyDescent="0.25">
      <c r="C42" s="222"/>
    </row>
  </sheetData>
  <printOptions horizontalCentered="1"/>
  <pageMargins left="0.75" right="0.75" top="1" bottom="1" header="0.5" footer="0.5"/>
  <pageSetup scale="97"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I21"/>
  <sheetViews>
    <sheetView zoomScaleNormal="100" workbookViewId="0">
      <selection activeCell="A19" sqref="A19:H20"/>
    </sheetView>
  </sheetViews>
  <sheetFormatPr defaultColWidth="8.88671875" defaultRowHeight="12.75" x14ac:dyDescent="0.2"/>
  <cols>
    <col min="1" max="1" width="2.6640625" style="225" customWidth="1"/>
    <col min="2" max="2" width="40.109375" style="225" customWidth="1"/>
    <col min="3" max="3" width="14.6640625" style="225" customWidth="1"/>
    <col min="4" max="4" width="12.5546875" style="225" customWidth="1"/>
    <col min="5" max="5" width="17" style="225" customWidth="1"/>
    <col min="6" max="6" width="15.44140625" style="225" customWidth="1"/>
    <col min="7" max="7" width="13.109375" style="225" bestFit="1" customWidth="1"/>
    <col min="8" max="8" width="3.21875" style="225" customWidth="1"/>
    <col min="9" max="16384" width="8.88671875" style="225"/>
  </cols>
  <sheetData>
    <row r="1" spans="1:9" ht="27" x14ac:dyDescent="0.35">
      <c r="A1" s="632" t="s">
        <v>0</v>
      </c>
      <c r="B1" s="632"/>
      <c r="C1" s="632"/>
      <c r="D1" s="632"/>
      <c r="E1" s="632"/>
      <c r="F1" s="218"/>
      <c r="G1" s="218"/>
      <c r="H1" s="224"/>
    </row>
    <row r="2" spans="1:9" s="227" customFormat="1" ht="23.25" x14ac:dyDescent="0.3">
      <c r="A2" s="633" t="s">
        <v>6</v>
      </c>
      <c r="B2" s="633"/>
      <c r="C2" s="633"/>
      <c r="D2" s="633"/>
      <c r="E2" s="633"/>
      <c r="F2" s="226"/>
      <c r="G2" s="226"/>
      <c r="H2" s="268"/>
    </row>
    <row r="3" spans="1:9" s="227" customFormat="1" ht="18.75" x14ac:dyDescent="0.3">
      <c r="A3" s="319"/>
      <c r="B3" s="319"/>
      <c r="C3" s="319"/>
      <c r="D3" s="319"/>
      <c r="E3" s="319"/>
      <c r="F3" s="226"/>
      <c r="G3" s="226"/>
      <c r="H3" s="268"/>
    </row>
    <row r="4" spans="1:9" s="227" customFormat="1" ht="20.25" x14ac:dyDescent="0.3">
      <c r="A4" s="634" t="s">
        <v>163</v>
      </c>
      <c r="B4" s="634"/>
      <c r="C4" s="634"/>
      <c r="D4" s="634"/>
      <c r="E4" s="634"/>
      <c r="F4" s="226"/>
      <c r="G4" s="226"/>
      <c r="H4" s="268"/>
    </row>
    <row r="5" spans="1:9" s="227" customFormat="1" ht="20.25" x14ac:dyDescent="0.3">
      <c r="A5" s="634" t="s">
        <v>7</v>
      </c>
      <c r="B5" s="634"/>
      <c r="C5" s="634"/>
      <c r="D5" s="634"/>
      <c r="E5" s="634"/>
      <c r="F5" s="226"/>
      <c r="G5" s="226"/>
      <c r="H5" s="268"/>
    </row>
    <row r="6" spans="1:9" s="227" customFormat="1" ht="18.75" x14ac:dyDescent="0.3">
      <c r="B6" s="320"/>
      <c r="C6" s="320"/>
      <c r="D6" s="320"/>
      <c r="E6" s="320"/>
      <c r="F6" s="226"/>
      <c r="G6" s="226"/>
      <c r="H6" s="268"/>
    </row>
    <row r="7" spans="1:9" s="227" customFormat="1" ht="20.25" x14ac:dyDescent="0.3">
      <c r="A7" s="635" t="s">
        <v>74</v>
      </c>
      <c r="B7" s="635"/>
      <c r="C7" s="635"/>
      <c r="D7" s="635"/>
      <c r="E7" s="635"/>
      <c r="F7" s="226"/>
      <c r="G7" s="226"/>
      <c r="H7" s="268"/>
    </row>
    <row r="8" spans="1:9" s="227" customFormat="1" ht="18.75" x14ac:dyDescent="0.3">
      <c r="A8" s="268"/>
      <c r="B8" s="226"/>
      <c r="C8" s="226"/>
      <c r="D8" s="226"/>
      <c r="E8" s="226"/>
      <c r="F8" s="226"/>
      <c r="G8" s="226"/>
      <c r="H8" s="268"/>
    </row>
    <row r="9" spans="1:9" ht="47.25" x14ac:dyDescent="0.25">
      <c r="A9" s="216"/>
      <c r="B9" s="309"/>
      <c r="C9" s="317" t="s">
        <v>164</v>
      </c>
      <c r="D9" s="318" t="s">
        <v>159</v>
      </c>
      <c r="E9" s="317" t="s">
        <v>162</v>
      </c>
      <c r="F9" s="216"/>
      <c r="G9" s="216"/>
      <c r="H9" s="216"/>
    </row>
    <row r="10" spans="1:9" ht="20.100000000000001" customHeight="1" x14ac:dyDescent="0.25">
      <c r="A10" s="216"/>
      <c r="B10" s="288" t="s">
        <v>158</v>
      </c>
      <c r="C10" s="321">
        <v>91120844</v>
      </c>
      <c r="D10" s="310"/>
      <c r="E10" s="322">
        <f>C10+D10</f>
        <v>91120844</v>
      </c>
      <c r="F10" s="216"/>
      <c r="G10" s="216"/>
      <c r="H10" s="216"/>
    </row>
    <row r="11" spans="1:9" ht="20.100000000000001" customHeight="1" x14ac:dyDescent="0.25">
      <c r="A11" s="216"/>
      <c r="B11" s="270" t="s">
        <v>160</v>
      </c>
      <c r="C11" s="314"/>
      <c r="D11" s="311">
        <v>-3000000</v>
      </c>
      <c r="E11" s="314">
        <f t="shared" ref="E11:E12" si="0">C11+D11</f>
        <v>-3000000</v>
      </c>
      <c r="F11" s="216"/>
      <c r="G11" s="216"/>
      <c r="H11" s="216"/>
      <c r="I11" s="231"/>
    </row>
    <row r="12" spans="1:9" ht="20.100000000000001" customHeight="1" x14ac:dyDescent="0.25">
      <c r="A12" s="216"/>
      <c r="B12" s="312" t="s">
        <v>161</v>
      </c>
      <c r="C12" s="315"/>
      <c r="D12" s="313">
        <v>-1000000</v>
      </c>
      <c r="E12" s="314">
        <f t="shared" si="0"/>
        <v>-1000000</v>
      </c>
      <c r="F12" s="216"/>
      <c r="G12" s="216"/>
      <c r="H12" s="216"/>
      <c r="I12" s="231"/>
    </row>
    <row r="13" spans="1:9" ht="20.100000000000001" customHeight="1" x14ac:dyDescent="0.25">
      <c r="A13" s="216"/>
      <c r="B13" s="316" t="s">
        <v>48</v>
      </c>
      <c r="C13" s="323">
        <f>SUM(C10:C12)</f>
        <v>91120844</v>
      </c>
      <c r="D13" s="323">
        <f>SUM(D10:D12)</f>
        <v>-4000000</v>
      </c>
      <c r="E13" s="323">
        <f>SUM(E10:E12)</f>
        <v>87120844</v>
      </c>
      <c r="F13" s="216"/>
      <c r="G13" s="216"/>
      <c r="H13" s="216"/>
      <c r="I13" s="231"/>
    </row>
    <row r="14" spans="1:9" x14ac:dyDescent="0.2">
      <c r="I14" s="231"/>
    </row>
    <row r="15" spans="1:9" x14ac:dyDescent="0.2">
      <c r="I15" s="231"/>
    </row>
    <row r="16" spans="1:9" x14ac:dyDescent="0.2">
      <c r="I16" s="231"/>
    </row>
    <row r="17" spans="1:9" x14ac:dyDescent="0.2">
      <c r="I17" s="231"/>
    </row>
    <row r="18" spans="1:9" x14ac:dyDescent="0.2">
      <c r="I18" s="231"/>
    </row>
    <row r="19" spans="1:9" x14ac:dyDescent="0.2">
      <c r="A19" s="631" t="s">
        <v>165</v>
      </c>
      <c r="B19" s="631"/>
      <c r="C19" s="631"/>
      <c r="D19" s="631"/>
      <c r="E19" s="631"/>
      <c r="F19" s="631"/>
      <c r="G19" s="631"/>
      <c r="H19" s="631"/>
    </row>
    <row r="20" spans="1:9" x14ac:dyDescent="0.2">
      <c r="A20" s="631"/>
      <c r="B20" s="631"/>
      <c r="C20" s="631"/>
      <c r="D20" s="631"/>
      <c r="E20" s="631"/>
      <c r="F20" s="631"/>
      <c r="G20" s="631"/>
      <c r="H20" s="631"/>
    </row>
    <row r="21" spans="1:9" x14ac:dyDescent="0.2">
      <c r="B21" s="231"/>
      <c r="C21" s="231"/>
      <c r="D21" s="231"/>
      <c r="E21" s="231"/>
    </row>
  </sheetData>
  <mergeCells count="6">
    <mergeCell ref="A19:H20"/>
    <mergeCell ref="A1:E1"/>
    <mergeCell ref="A2:E2"/>
    <mergeCell ref="A4:E4"/>
    <mergeCell ref="A5:E5"/>
    <mergeCell ref="A7:E7"/>
  </mergeCells>
  <printOptions horizontalCentered="1"/>
  <pageMargins left="0.7" right="0.7" top="0.75" bottom="0.75" header="0.3" footer="0.3"/>
  <pageSetup scale="87" orientation="portrait" r:id="rId1"/>
  <colBreaks count="1" manualBreakCount="1">
    <brk id="5"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AM102"/>
  <sheetViews>
    <sheetView tabSelected="1" zoomScale="90" zoomScaleNormal="90" workbookViewId="0">
      <selection activeCell="C46" sqref="C46"/>
    </sheetView>
  </sheetViews>
  <sheetFormatPr defaultColWidth="8.88671875" defaultRowHeight="15" x14ac:dyDescent="0.2"/>
  <cols>
    <col min="1" max="1" width="46.33203125" style="74" customWidth="1"/>
    <col min="2" max="2" width="16.77734375" style="74" customWidth="1"/>
    <col min="3" max="3" width="16.33203125" style="74" customWidth="1"/>
    <col min="4" max="4" width="16.77734375" style="74" customWidth="1"/>
    <col min="5" max="6" width="13.77734375" style="74" customWidth="1"/>
    <col min="7" max="7" width="14.109375" style="74" customWidth="1"/>
    <col min="8" max="8" width="13.88671875" style="74" customWidth="1"/>
    <col min="9" max="9" width="16.33203125" style="74" customWidth="1"/>
    <col min="10" max="10" width="14.77734375" style="74" customWidth="1"/>
    <col min="11" max="24" width="9.6640625" style="74" customWidth="1"/>
    <col min="25" max="16384" width="8.88671875" style="74"/>
  </cols>
  <sheetData>
    <row r="1" spans="1:39" s="10" customFormat="1" ht="30" customHeight="1" x14ac:dyDescent="0.4">
      <c r="A1" s="338" t="s">
        <v>0</v>
      </c>
      <c r="B1" s="5"/>
      <c r="C1" s="342"/>
      <c r="D1" s="343"/>
      <c r="E1" s="9"/>
      <c r="F1" s="9"/>
      <c r="G1" s="9"/>
      <c r="H1" s="9"/>
      <c r="I1" s="9"/>
      <c r="J1" s="9"/>
      <c r="K1" s="9"/>
      <c r="L1" s="9"/>
      <c r="M1" s="9"/>
      <c r="N1" s="9"/>
      <c r="O1" s="9"/>
      <c r="P1" s="9"/>
      <c r="Q1" s="9"/>
      <c r="R1" s="9"/>
      <c r="S1" s="9"/>
      <c r="T1" s="9"/>
      <c r="U1" s="9"/>
      <c r="V1" s="9"/>
      <c r="W1" s="9"/>
      <c r="X1" s="9"/>
    </row>
    <row r="2" spans="1:39" s="16" customFormat="1" ht="24.95" customHeight="1" x14ac:dyDescent="0.35">
      <c r="A2" s="344" t="s">
        <v>6</v>
      </c>
      <c r="B2" s="344"/>
      <c r="C2" s="346"/>
      <c r="D2" s="346"/>
      <c r="E2" s="15"/>
      <c r="F2" s="15"/>
      <c r="G2" s="15"/>
      <c r="H2" s="15"/>
      <c r="I2" s="15"/>
      <c r="J2" s="15"/>
      <c r="K2" s="15"/>
      <c r="L2" s="15"/>
      <c r="M2" s="15"/>
      <c r="N2" s="15"/>
      <c r="O2" s="15"/>
      <c r="P2" s="15"/>
      <c r="Q2" s="15"/>
      <c r="R2" s="15"/>
      <c r="S2" s="15"/>
      <c r="T2" s="15"/>
      <c r="U2" s="15"/>
      <c r="V2" s="15"/>
      <c r="W2" s="15"/>
      <c r="X2" s="15"/>
    </row>
    <row r="3" spans="1:39" s="23" customFormat="1" ht="14.25" customHeight="1" x14ac:dyDescent="0.4">
      <c r="A3" s="347"/>
      <c r="B3" s="350"/>
      <c r="C3" s="349"/>
      <c r="D3" s="349"/>
      <c r="E3" s="22"/>
      <c r="F3" s="22"/>
      <c r="G3" s="22"/>
      <c r="H3" s="22"/>
      <c r="I3" s="22"/>
      <c r="J3" s="22"/>
      <c r="K3" s="22"/>
      <c r="L3" s="22"/>
      <c r="M3" s="22"/>
      <c r="N3" s="22"/>
      <c r="O3" s="22"/>
      <c r="P3" s="22"/>
      <c r="Q3" s="22"/>
      <c r="R3" s="22"/>
      <c r="S3" s="22"/>
      <c r="T3" s="22"/>
      <c r="U3" s="22"/>
      <c r="V3" s="22"/>
      <c r="W3" s="22"/>
      <c r="X3" s="22"/>
    </row>
    <row r="4" spans="1:39" s="29" customFormat="1" ht="20.25" customHeight="1" x14ac:dyDescent="0.3">
      <c r="A4" s="354" t="s">
        <v>225</v>
      </c>
      <c r="B4" s="301"/>
      <c r="C4" s="356"/>
      <c r="D4" s="356"/>
      <c r="E4" s="330"/>
      <c r="F4" s="28"/>
      <c r="G4" s="28"/>
      <c r="H4" s="28"/>
      <c r="I4" s="28"/>
      <c r="J4" s="28"/>
      <c r="K4" s="28"/>
      <c r="L4" s="28"/>
      <c r="M4" s="28"/>
      <c r="N4" s="28"/>
      <c r="O4" s="28"/>
      <c r="P4" s="28"/>
      <c r="Q4" s="28"/>
      <c r="R4" s="28"/>
      <c r="S4" s="28"/>
      <c r="T4" s="28"/>
      <c r="U4" s="28"/>
      <c r="V4" s="28"/>
      <c r="W4" s="28"/>
      <c r="X4" s="28"/>
    </row>
    <row r="5" spans="1:39" s="29" customFormat="1" ht="20.25" customHeight="1" x14ac:dyDescent="0.3">
      <c r="A5" s="354" t="s">
        <v>76</v>
      </c>
      <c r="B5" s="301"/>
      <c r="C5" s="356"/>
      <c r="D5" s="356"/>
      <c r="E5" s="330"/>
      <c r="F5" s="28"/>
      <c r="G5" s="28"/>
      <c r="H5" s="28"/>
      <c r="I5" s="28"/>
      <c r="J5" s="28"/>
      <c r="K5" s="28"/>
      <c r="L5" s="28"/>
      <c r="M5" s="28"/>
      <c r="N5" s="28"/>
      <c r="O5" s="28"/>
      <c r="P5" s="28"/>
      <c r="Q5" s="28"/>
      <c r="R5" s="28"/>
      <c r="S5" s="28"/>
      <c r="T5" s="28"/>
      <c r="U5" s="28"/>
      <c r="V5" s="28"/>
      <c r="W5" s="28"/>
      <c r="X5" s="28"/>
    </row>
    <row r="6" spans="1:39" ht="18" x14ac:dyDescent="0.25">
      <c r="A6" s="301"/>
      <c r="B6" s="301"/>
      <c r="C6" s="518"/>
      <c r="D6" s="518"/>
      <c r="E6" s="248"/>
      <c r="F6" s="33"/>
      <c r="G6" s="33"/>
      <c r="H6" s="33"/>
      <c r="I6" s="33"/>
      <c r="J6" s="33"/>
      <c r="K6" s="33"/>
      <c r="L6" s="33"/>
      <c r="M6" s="33"/>
      <c r="N6" s="33"/>
      <c r="O6" s="33"/>
      <c r="P6" s="33"/>
      <c r="Q6" s="33"/>
      <c r="R6" s="33"/>
      <c r="S6" s="33"/>
      <c r="T6" s="33"/>
      <c r="U6" s="33"/>
      <c r="V6" s="33"/>
      <c r="W6" s="33"/>
      <c r="X6" s="33"/>
    </row>
    <row r="7" spans="1:39" s="36" customFormat="1" ht="20.25" customHeight="1" x14ac:dyDescent="0.3">
      <c r="A7" s="357" t="s">
        <v>8</v>
      </c>
      <c r="B7" s="301"/>
      <c r="C7" s="356"/>
      <c r="D7" s="356"/>
      <c r="E7" s="330"/>
      <c r="F7" s="330"/>
      <c r="G7" s="28"/>
      <c r="H7" s="28"/>
      <c r="I7" s="28"/>
      <c r="J7" s="28"/>
      <c r="K7" s="28"/>
      <c r="L7" s="28"/>
      <c r="M7" s="28"/>
      <c r="N7" s="28"/>
      <c r="O7" s="28"/>
      <c r="P7" s="28"/>
      <c r="Q7" s="28"/>
      <c r="R7" s="28"/>
      <c r="S7" s="35"/>
      <c r="T7" s="35"/>
      <c r="U7" s="35"/>
      <c r="V7" s="35"/>
      <c r="W7" s="35"/>
      <c r="X7" s="35"/>
    </row>
    <row r="8" spans="1:39" ht="18.75" thickBot="1" x14ac:dyDescent="0.3">
      <c r="A8" s="303"/>
      <c r="B8" s="299"/>
      <c r="C8" s="300"/>
      <c r="D8" s="300"/>
      <c r="E8" s="248"/>
      <c r="F8" s="248"/>
      <c r="G8" s="33"/>
      <c r="H8" s="33"/>
      <c r="I8" s="33"/>
      <c r="J8" s="33"/>
      <c r="K8" s="33"/>
      <c r="L8" s="33"/>
      <c r="M8" s="33"/>
      <c r="N8" s="33"/>
      <c r="O8" s="33"/>
      <c r="P8" s="33"/>
      <c r="Q8" s="33"/>
      <c r="R8" s="33"/>
      <c r="S8" s="33"/>
      <c r="T8" s="33"/>
      <c r="U8" s="33"/>
      <c r="V8" s="33"/>
      <c r="W8" s="33"/>
      <c r="X8" s="33"/>
    </row>
    <row r="9" spans="1:39" s="47" customFormat="1" ht="18.95" customHeight="1" x14ac:dyDescent="0.25">
      <c r="A9" s="636" t="s">
        <v>202</v>
      </c>
      <c r="B9" s="620" t="s">
        <v>218</v>
      </c>
      <c r="C9" s="618" t="s">
        <v>9</v>
      </c>
      <c r="D9" s="620" t="s">
        <v>16</v>
      </c>
      <c r="E9" s="330"/>
      <c r="F9" s="28"/>
      <c r="G9" s="28"/>
      <c r="H9" s="28"/>
      <c r="I9" s="28"/>
      <c r="J9" s="28"/>
      <c r="K9" s="28"/>
      <c r="L9" s="28"/>
      <c r="M9" s="28"/>
      <c r="N9" s="28"/>
      <c r="O9" s="28"/>
      <c r="P9" s="28"/>
      <c r="Q9" s="28"/>
      <c r="R9" s="28"/>
      <c r="S9" s="28"/>
      <c r="T9" s="28"/>
      <c r="U9" s="28"/>
      <c r="V9" s="28"/>
      <c r="W9" s="28"/>
      <c r="X9" s="28"/>
    </row>
    <row r="10" spans="1:39" s="47" customFormat="1" ht="18.95" customHeight="1" thickBot="1" x14ac:dyDescent="0.3">
      <c r="A10" s="637"/>
      <c r="B10" s="619" t="s">
        <v>9</v>
      </c>
      <c r="C10" s="619" t="s">
        <v>190</v>
      </c>
      <c r="D10" s="619" t="s">
        <v>9</v>
      </c>
      <c r="E10" s="336"/>
      <c r="F10" s="55"/>
      <c r="G10" s="55"/>
      <c r="H10" s="55"/>
      <c r="I10" s="55"/>
      <c r="J10" s="55"/>
      <c r="K10" s="55"/>
      <c r="L10" s="55"/>
      <c r="M10" s="55"/>
      <c r="N10" s="55"/>
      <c r="O10" s="55"/>
      <c r="P10" s="55"/>
      <c r="Q10" s="55"/>
      <c r="R10" s="55"/>
      <c r="S10" s="55"/>
      <c r="T10" s="55"/>
      <c r="U10" s="55"/>
      <c r="V10" s="55"/>
      <c r="W10" s="55"/>
      <c r="X10" s="55"/>
      <c r="Y10" s="56"/>
      <c r="Z10" s="56"/>
      <c r="AA10" s="56"/>
      <c r="AB10" s="56"/>
      <c r="AC10" s="56"/>
      <c r="AD10" s="56"/>
      <c r="AE10" s="56"/>
      <c r="AF10" s="56"/>
      <c r="AG10" s="56"/>
      <c r="AH10" s="56"/>
      <c r="AI10" s="56"/>
      <c r="AJ10" s="56"/>
      <c r="AK10" s="56"/>
      <c r="AL10" s="56"/>
      <c r="AM10" s="56"/>
    </row>
    <row r="11" spans="1:39" ht="18" hidden="1" x14ac:dyDescent="0.25">
      <c r="A11" s="327"/>
      <c r="B11" s="64"/>
      <c r="C11" s="302"/>
      <c r="D11" s="302"/>
      <c r="E11" s="248"/>
      <c r="F11" s="33"/>
      <c r="G11" s="33"/>
      <c r="H11" s="33"/>
      <c r="I11" s="33"/>
      <c r="J11" s="33"/>
      <c r="K11" s="33"/>
      <c r="L11" s="33"/>
      <c r="M11" s="33"/>
      <c r="N11" s="33"/>
      <c r="O11" s="33"/>
      <c r="P11" s="33"/>
      <c r="Q11" s="33"/>
      <c r="R11" s="33"/>
      <c r="S11" s="33"/>
      <c r="T11" s="33"/>
      <c r="U11" s="33"/>
      <c r="V11" s="33"/>
      <c r="W11" s="33"/>
      <c r="X11" s="33"/>
    </row>
    <row r="12" spans="1:39" hidden="1" x14ac:dyDescent="0.2">
      <c r="A12" s="379" t="s">
        <v>187</v>
      </c>
      <c r="B12" s="389">
        <v>37954853</v>
      </c>
      <c r="C12" s="390">
        <v>4227453</v>
      </c>
      <c r="D12" s="389">
        <f t="shared" ref="D12:D17" si="0">+B12+C12</f>
        <v>42182306</v>
      </c>
      <c r="E12" s="248"/>
      <c r="F12" s="308"/>
      <c r="G12" s="33"/>
      <c r="H12" s="33"/>
      <c r="I12" s="33"/>
      <c r="J12" s="33"/>
      <c r="K12" s="33"/>
      <c r="L12" s="33"/>
      <c r="M12" s="33"/>
      <c r="N12" s="33"/>
      <c r="O12" s="33"/>
      <c r="P12" s="33"/>
      <c r="Q12" s="33"/>
      <c r="R12" s="33"/>
      <c r="S12" s="33"/>
      <c r="T12" s="33"/>
      <c r="U12" s="33"/>
      <c r="V12" s="33"/>
      <c r="W12" s="33"/>
      <c r="X12" s="33"/>
    </row>
    <row r="13" spans="1:39" hidden="1" x14ac:dyDescent="0.2">
      <c r="A13" s="392" t="s">
        <v>168</v>
      </c>
      <c r="B13" s="393">
        <v>524004</v>
      </c>
      <c r="C13" s="394">
        <v>0</v>
      </c>
      <c r="D13" s="393">
        <f t="shared" si="0"/>
        <v>524004</v>
      </c>
      <c r="E13" s="248"/>
      <c r="F13" s="308"/>
      <c r="G13" s="33"/>
      <c r="H13" s="33"/>
      <c r="I13" s="33"/>
      <c r="J13" s="33"/>
      <c r="K13" s="33"/>
      <c r="L13" s="33"/>
      <c r="M13" s="33"/>
      <c r="N13" s="33"/>
      <c r="O13" s="33"/>
      <c r="P13" s="33"/>
      <c r="Q13" s="33"/>
      <c r="R13" s="33"/>
      <c r="S13" s="33"/>
      <c r="T13" s="33"/>
      <c r="U13" s="33"/>
      <c r="V13" s="33"/>
      <c r="W13" s="33"/>
      <c r="X13" s="33"/>
    </row>
    <row r="14" spans="1:39" hidden="1" x14ac:dyDescent="0.2">
      <c r="A14" s="392" t="s">
        <v>169</v>
      </c>
      <c r="B14" s="393">
        <v>2155023</v>
      </c>
      <c r="C14" s="394">
        <v>0</v>
      </c>
      <c r="D14" s="393">
        <f t="shared" si="0"/>
        <v>2155023</v>
      </c>
      <c r="E14" s="248"/>
      <c r="F14" s="308"/>
      <c r="G14" s="33"/>
      <c r="H14" s="33"/>
      <c r="I14" s="33"/>
      <c r="J14" s="33"/>
      <c r="K14" s="33"/>
      <c r="L14" s="33"/>
      <c r="M14" s="33"/>
      <c r="N14" s="33"/>
      <c r="O14" s="33"/>
      <c r="P14" s="33"/>
      <c r="Q14" s="33"/>
      <c r="R14" s="33"/>
      <c r="S14" s="33"/>
      <c r="T14" s="33"/>
      <c r="U14" s="33"/>
      <c r="V14" s="33"/>
      <c r="W14" s="33"/>
      <c r="X14" s="33"/>
    </row>
    <row r="15" spans="1:39" hidden="1" x14ac:dyDescent="0.2">
      <c r="A15" s="392" t="s">
        <v>170</v>
      </c>
      <c r="B15" s="393">
        <v>6159713</v>
      </c>
      <c r="C15" s="394">
        <v>0</v>
      </c>
      <c r="D15" s="393">
        <f t="shared" si="0"/>
        <v>6159713</v>
      </c>
      <c r="E15" s="248"/>
      <c r="F15" s="308"/>
      <c r="G15" s="33"/>
      <c r="H15" s="33"/>
      <c r="I15" s="33"/>
      <c r="J15" s="33"/>
      <c r="K15" s="33"/>
      <c r="L15" s="33"/>
      <c r="M15" s="33"/>
      <c r="N15" s="33"/>
      <c r="O15" s="33"/>
      <c r="P15" s="33"/>
      <c r="Q15" s="33"/>
      <c r="R15" s="33"/>
      <c r="S15" s="33"/>
      <c r="T15" s="33"/>
      <c r="U15" s="33"/>
      <c r="V15" s="33"/>
      <c r="W15" s="33"/>
      <c r="X15" s="33"/>
    </row>
    <row r="16" spans="1:39" hidden="1" x14ac:dyDescent="0.2">
      <c r="A16" s="392" t="s">
        <v>200</v>
      </c>
      <c r="B16" s="393">
        <v>2830159</v>
      </c>
      <c r="C16" s="394">
        <v>0</v>
      </c>
      <c r="D16" s="393">
        <f t="shared" si="0"/>
        <v>2830159</v>
      </c>
      <c r="E16" s="248"/>
      <c r="F16" s="308"/>
      <c r="G16" s="33"/>
      <c r="H16" s="33"/>
      <c r="I16" s="33"/>
      <c r="J16" s="33"/>
      <c r="K16" s="33"/>
      <c r="L16" s="33"/>
      <c r="M16" s="33"/>
      <c r="N16" s="33"/>
      <c r="O16" s="33"/>
      <c r="P16" s="33"/>
      <c r="Q16" s="33"/>
      <c r="R16" s="33"/>
      <c r="S16" s="33"/>
      <c r="T16" s="33"/>
      <c r="U16" s="33"/>
      <c r="V16" s="33"/>
      <c r="W16" s="33"/>
      <c r="X16" s="33"/>
    </row>
    <row r="17" spans="1:39" hidden="1" x14ac:dyDescent="0.2">
      <c r="A17" s="392" t="s">
        <v>199</v>
      </c>
      <c r="B17" s="393">
        <v>45000</v>
      </c>
      <c r="C17" s="394">
        <v>0</v>
      </c>
      <c r="D17" s="393">
        <f t="shared" si="0"/>
        <v>45000</v>
      </c>
      <c r="E17" s="248"/>
      <c r="F17" s="308"/>
      <c r="G17" s="33"/>
      <c r="H17" s="33"/>
      <c r="I17" s="33"/>
      <c r="J17" s="33"/>
      <c r="K17" s="33"/>
      <c r="L17" s="33"/>
      <c r="M17" s="33"/>
      <c r="N17" s="33"/>
      <c r="O17" s="33"/>
      <c r="P17" s="33"/>
      <c r="Q17" s="33"/>
      <c r="R17" s="33"/>
      <c r="S17" s="33"/>
      <c r="T17" s="33"/>
      <c r="U17" s="33"/>
      <c r="V17" s="33"/>
      <c r="W17" s="33"/>
      <c r="X17" s="33"/>
    </row>
    <row r="18" spans="1:39" hidden="1" x14ac:dyDescent="0.2">
      <c r="A18" s="395" t="s">
        <v>171</v>
      </c>
      <c r="B18" s="396">
        <f>SUBTOTAL(9,B13:B17)</f>
        <v>11713899</v>
      </c>
      <c r="C18" s="396">
        <f>SUBTOTAL(9,C13:C15)</f>
        <v>0</v>
      </c>
      <c r="D18" s="396">
        <f>SUBTOTAL(9,D13:D15)</f>
        <v>8838740</v>
      </c>
      <c r="E18" s="248"/>
      <c r="F18" s="308"/>
      <c r="G18" s="33"/>
      <c r="H18" s="33"/>
      <c r="I18" s="33"/>
      <c r="J18" s="33"/>
      <c r="K18" s="33"/>
      <c r="L18" s="33"/>
      <c r="M18" s="33"/>
      <c r="N18" s="33"/>
      <c r="O18" s="33"/>
      <c r="P18" s="33"/>
      <c r="Q18" s="33"/>
      <c r="R18" s="33"/>
      <c r="S18" s="33"/>
      <c r="T18" s="33"/>
      <c r="U18" s="33"/>
      <c r="V18" s="33"/>
      <c r="W18" s="33"/>
      <c r="X18" s="33"/>
    </row>
    <row r="19" spans="1:39" x14ac:dyDescent="0.2">
      <c r="A19" s="395" t="s">
        <v>172</v>
      </c>
      <c r="B19" s="500">
        <v>65508789</v>
      </c>
      <c r="C19" s="500">
        <v>-783410</v>
      </c>
      <c r="D19" s="500">
        <f t="shared" ref="D19:D24" si="1">+B19+C19</f>
        <v>64725379</v>
      </c>
      <c r="E19" s="248"/>
      <c r="F19" s="308"/>
      <c r="G19" s="33"/>
      <c r="H19" s="33"/>
      <c r="I19" s="33"/>
      <c r="J19" s="33"/>
      <c r="K19" s="33"/>
      <c r="L19" s="33"/>
      <c r="M19" s="33"/>
      <c r="N19" s="33"/>
      <c r="O19" s="33"/>
      <c r="P19" s="33"/>
      <c r="Q19" s="33"/>
      <c r="R19" s="33"/>
      <c r="S19" s="33"/>
      <c r="T19" s="33"/>
      <c r="U19" s="33"/>
      <c r="V19" s="33"/>
      <c r="W19" s="33"/>
      <c r="X19" s="33"/>
    </row>
    <row r="20" spans="1:39" x14ac:dyDescent="0.2">
      <c r="A20" s="395" t="s">
        <v>173</v>
      </c>
      <c r="B20" s="434">
        <v>60162524</v>
      </c>
      <c r="C20" s="434">
        <v>0</v>
      </c>
      <c r="D20" s="396">
        <f t="shared" si="1"/>
        <v>60162524</v>
      </c>
      <c r="E20" s="248"/>
      <c r="F20" s="308"/>
      <c r="G20" s="33"/>
      <c r="H20" s="33"/>
      <c r="I20" s="33"/>
      <c r="J20" s="33"/>
      <c r="K20" s="33"/>
      <c r="L20" s="33"/>
      <c r="M20" s="33"/>
      <c r="N20" s="33"/>
      <c r="O20" s="33"/>
      <c r="P20" s="33"/>
      <c r="Q20" s="33"/>
      <c r="R20" s="33"/>
      <c r="S20" s="33"/>
      <c r="T20" s="33"/>
      <c r="U20" s="33"/>
      <c r="V20" s="33"/>
      <c r="W20" s="33"/>
      <c r="X20" s="33"/>
    </row>
    <row r="21" spans="1:39" x14ac:dyDescent="0.2">
      <c r="A21" s="395" t="s">
        <v>174</v>
      </c>
      <c r="B21" s="434">
        <v>2830966</v>
      </c>
      <c r="C21" s="434">
        <v>0</v>
      </c>
      <c r="D21" s="396">
        <f t="shared" si="1"/>
        <v>2830966</v>
      </c>
      <c r="E21" s="248"/>
      <c r="F21" s="308"/>
      <c r="G21" s="33"/>
      <c r="H21" s="33"/>
      <c r="I21" s="33"/>
      <c r="J21" s="33"/>
      <c r="K21" s="33"/>
      <c r="L21" s="33"/>
      <c r="M21" s="33"/>
      <c r="N21" s="33"/>
      <c r="O21" s="33"/>
      <c r="P21" s="33"/>
      <c r="Q21" s="33"/>
      <c r="R21" s="33"/>
      <c r="S21" s="33"/>
      <c r="T21" s="33"/>
      <c r="U21" s="33"/>
      <c r="V21" s="33"/>
      <c r="W21" s="33"/>
      <c r="X21" s="33"/>
    </row>
    <row r="22" spans="1:39" x14ac:dyDescent="0.2">
      <c r="A22" s="395" t="s">
        <v>176</v>
      </c>
      <c r="B22" s="434">
        <v>85163229</v>
      </c>
      <c r="C22" s="434">
        <v>0</v>
      </c>
      <c r="D22" s="396">
        <f t="shared" si="1"/>
        <v>85163229</v>
      </c>
      <c r="E22" s="248"/>
      <c r="F22" s="308"/>
      <c r="G22" s="84"/>
      <c r="H22" s="84"/>
      <c r="I22" s="84"/>
      <c r="J22" s="84"/>
      <c r="K22" s="85"/>
      <c r="L22" s="84"/>
      <c r="M22" s="33"/>
      <c r="N22" s="33"/>
      <c r="O22" s="33"/>
      <c r="P22" s="33"/>
      <c r="Q22" s="33"/>
      <c r="R22" s="33"/>
      <c r="S22" s="33"/>
      <c r="T22" s="33"/>
      <c r="U22" s="33"/>
      <c r="V22" s="33"/>
      <c r="W22" s="33"/>
      <c r="X22" s="33"/>
    </row>
    <row r="23" spans="1:39" x14ac:dyDescent="0.2">
      <c r="A23" s="395" t="s">
        <v>175</v>
      </c>
      <c r="B23" s="434">
        <v>15063893</v>
      </c>
      <c r="C23" s="434">
        <v>0</v>
      </c>
      <c r="D23" s="396">
        <f t="shared" si="1"/>
        <v>15063893</v>
      </c>
      <c r="E23" s="248"/>
      <c r="F23" s="308"/>
      <c r="G23" s="33"/>
      <c r="H23" s="33"/>
      <c r="I23" s="33"/>
      <c r="J23" s="33"/>
      <c r="K23" s="33"/>
      <c r="L23" s="33"/>
      <c r="M23" s="33"/>
      <c r="N23" s="33"/>
      <c r="O23" s="33"/>
      <c r="P23" s="33"/>
      <c r="Q23" s="33"/>
      <c r="R23" s="33"/>
      <c r="S23" s="33"/>
      <c r="T23" s="33"/>
      <c r="U23" s="33"/>
      <c r="V23" s="33"/>
      <c r="W23" s="33"/>
      <c r="X23" s="33"/>
    </row>
    <row r="24" spans="1:39" ht="15.75" thickBot="1" x14ac:dyDescent="0.25">
      <c r="A24" s="395" t="s">
        <v>186</v>
      </c>
      <c r="B24" s="434">
        <v>21630044</v>
      </c>
      <c r="C24" s="434">
        <v>0</v>
      </c>
      <c r="D24" s="396">
        <f t="shared" si="1"/>
        <v>21630044</v>
      </c>
      <c r="E24" s="248"/>
      <c r="F24" s="308"/>
      <c r="G24" s="84"/>
      <c r="H24" s="84"/>
      <c r="I24" s="84"/>
      <c r="J24" s="84"/>
      <c r="K24" s="85"/>
      <c r="L24" s="84"/>
      <c r="M24" s="33"/>
      <c r="N24" s="33"/>
      <c r="O24" s="33"/>
      <c r="P24" s="33"/>
      <c r="Q24" s="33"/>
      <c r="R24" s="33"/>
      <c r="S24" s="33"/>
      <c r="T24" s="33"/>
      <c r="U24" s="33"/>
      <c r="V24" s="33"/>
      <c r="W24" s="33"/>
      <c r="X24" s="33"/>
    </row>
    <row r="25" spans="1:39" s="47" customFormat="1" ht="19.5" customHeight="1" thickBot="1" x14ac:dyDescent="0.3">
      <c r="A25" s="621" t="s">
        <v>203</v>
      </c>
      <c r="B25" s="622">
        <f>SUM(B19:B24)</f>
        <v>250359445</v>
      </c>
      <c r="C25" s="622">
        <f>SUM(C19:C24)</f>
        <v>-783410</v>
      </c>
      <c r="D25" s="622">
        <f>SUM(D19:D24)</f>
        <v>249576035</v>
      </c>
      <c r="E25" s="330"/>
      <c r="F25" s="28"/>
      <c r="G25" s="107"/>
      <c r="H25" s="107"/>
      <c r="I25" s="108"/>
      <c r="J25" s="107"/>
      <c r="K25" s="109"/>
      <c r="L25" s="107"/>
      <c r="M25" s="28"/>
      <c r="N25" s="28"/>
      <c r="O25" s="28"/>
      <c r="P25" s="28"/>
      <c r="Q25" s="28"/>
      <c r="R25" s="28"/>
      <c r="S25" s="28"/>
      <c r="T25" s="28"/>
      <c r="U25" s="28"/>
      <c r="V25" s="28"/>
      <c r="W25" s="28"/>
      <c r="X25" s="28"/>
    </row>
    <row r="26" spans="1:39" ht="18.75" thickTop="1" x14ac:dyDescent="0.25">
      <c r="A26" s="303"/>
      <c r="B26" s="299"/>
      <c r="C26" s="299"/>
      <c r="D26" s="299"/>
      <c r="E26" s="248"/>
      <c r="F26" s="249"/>
      <c r="G26" s="84"/>
      <c r="H26" s="84"/>
      <c r="I26" s="409"/>
      <c r="J26" s="84"/>
      <c r="K26" s="85"/>
      <c r="L26" s="84"/>
      <c r="M26" s="33"/>
      <c r="N26" s="33"/>
      <c r="O26" s="33"/>
      <c r="P26" s="33"/>
      <c r="Q26" s="33"/>
      <c r="R26" s="33"/>
      <c r="S26" s="33"/>
      <c r="T26" s="33"/>
      <c r="U26" s="33"/>
      <c r="V26" s="33"/>
      <c r="W26" s="33"/>
      <c r="X26" s="33"/>
    </row>
    <row r="27" spans="1:39" ht="18" x14ac:dyDescent="0.25">
      <c r="A27" s="303" t="s">
        <v>22</v>
      </c>
      <c r="B27" s="299"/>
      <c r="C27" s="299"/>
      <c r="D27" s="299"/>
      <c r="E27" s="248"/>
      <c r="F27" s="249"/>
      <c r="G27" s="84"/>
      <c r="H27" s="84"/>
      <c r="I27" s="409"/>
      <c r="J27" s="84"/>
      <c r="K27" s="85"/>
      <c r="L27" s="84"/>
      <c r="M27" s="33"/>
      <c r="N27" s="33"/>
      <c r="O27" s="33"/>
      <c r="P27" s="33"/>
      <c r="Q27" s="33"/>
      <c r="R27" s="33"/>
      <c r="S27" s="33"/>
      <c r="T27" s="33"/>
      <c r="U27" s="33"/>
      <c r="V27" s="33"/>
      <c r="W27" s="33"/>
      <c r="X27" s="33"/>
    </row>
    <row r="28" spans="1:39" s="36" customFormat="1" ht="20.25" x14ac:dyDescent="0.3">
      <c r="A28" s="357" t="s">
        <v>87</v>
      </c>
      <c r="B28" s="301"/>
      <c r="C28" s="356"/>
      <c r="D28" s="356"/>
      <c r="E28" s="335"/>
      <c r="F28" s="114"/>
      <c r="G28" s="114"/>
      <c r="H28" s="114"/>
      <c r="I28" s="114"/>
      <c r="J28" s="114"/>
      <c r="K28" s="115"/>
      <c r="L28" s="114"/>
      <c r="M28" s="35"/>
      <c r="N28" s="35"/>
      <c r="O28" s="35"/>
      <c r="P28" s="35"/>
      <c r="Q28" s="35"/>
      <c r="R28" s="35"/>
      <c r="S28" s="35"/>
      <c r="T28" s="35"/>
      <c r="U28" s="35"/>
      <c r="V28" s="35"/>
      <c r="W28" s="35"/>
      <c r="X28" s="35"/>
    </row>
    <row r="29" spans="1:39" ht="18.75" thickBot="1" x14ac:dyDescent="0.3">
      <c r="A29" s="358"/>
      <c r="B29" s="359"/>
      <c r="C29" s="361"/>
      <c r="D29" s="361"/>
      <c r="E29" s="248"/>
      <c r="F29" s="84"/>
      <c r="G29" s="114"/>
      <c r="H29" s="84"/>
      <c r="I29" s="409"/>
      <c r="J29" s="84"/>
      <c r="K29" s="85"/>
      <c r="L29" s="33"/>
      <c r="M29" s="33"/>
      <c r="N29" s="33"/>
      <c r="O29" s="33"/>
      <c r="P29" s="33"/>
      <c r="Q29" s="33"/>
      <c r="R29" s="33"/>
      <c r="S29" s="33"/>
      <c r="T29" s="33"/>
      <c r="U29" s="33"/>
      <c r="V29" s="33"/>
      <c r="W29" s="33"/>
      <c r="X29" s="33"/>
    </row>
    <row r="30" spans="1:39" s="47" customFormat="1" ht="18.95" customHeight="1" x14ac:dyDescent="0.25">
      <c r="A30" s="636" t="s">
        <v>197</v>
      </c>
      <c r="B30" s="620" t="s">
        <v>218</v>
      </c>
      <c r="C30" s="623" t="s">
        <v>9</v>
      </c>
      <c r="D30" s="623" t="s">
        <v>16</v>
      </c>
      <c r="E30" s="330"/>
      <c r="F30" s="28"/>
      <c r="G30" s="114"/>
      <c r="H30" s="28"/>
      <c r="I30" s="28"/>
      <c r="J30" s="28"/>
      <c r="K30" s="28"/>
      <c r="L30" s="28"/>
      <c r="M30" s="28"/>
      <c r="N30" s="28"/>
      <c r="O30" s="28"/>
      <c r="P30" s="28"/>
      <c r="Q30" s="28"/>
      <c r="R30" s="28"/>
      <c r="S30" s="28"/>
      <c r="T30" s="28"/>
      <c r="U30" s="28"/>
      <c r="V30" s="28"/>
      <c r="W30" s="28"/>
      <c r="X30" s="28"/>
    </row>
    <row r="31" spans="1:39" s="47" customFormat="1" ht="18.95" customHeight="1" thickBot="1" x14ac:dyDescent="0.3">
      <c r="A31" s="637"/>
      <c r="B31" s="619" t="s">
        <v>9</v>
      </c>
      <c r="C31" s="619" t="s">
        <v>190</v>
      </c>
      <c r="D31" s="619" t="s">
        <v>9</v>
      </c>
      <c r="E31" s="336"/>
      <c r="F31" s="55"/>
      <c r="G31" s="336"/>
      <c r="H31" s="55"/>
      <c r="I31" s="55"/>
      <c r="J31" s="55"/>
      <c r="K31" s="55"/>
      <c r="L31" s="55"/>
      <c r="M31" s="55"/>
      <c r="N31" s="55"/>
      <c r="O31" s="55"/>
      <c r="P31" s="55"/>
      <c r="Q31" s="55"/>
      <c r="R31" s="55"/>
      <c r="S31" s="55"/>
      <c r="T31" s="55"/>
      <c r="U31" s="55"/>
      <c r="V31" s="55"/>
      <c r="W31" s="55"/>
      <c r="X31" s="55"/>
      <c r="Y31" s="56"/>
      <c r="Z31" s="56"/>
      <c r="AA31" s="56"/>
      <c r="AB31" s="56"/>
      <c r="AC31" s="56"/>
      <c r="AD31" s="56"/>
      <c r="AE31" s="56"/>
      <c r="AF31" s="56"/>
      <c r="AG31" s="56"/>
      <c r="AH31" s="56"/>
      <c r="AI31" s="56"/>
      <c r="AJ31" s="56"/>
      <c r="AK31" s="56"/>
      <c r="AL31" s="56"/>
      <c r="AM31" s="56"/>
    </row>
    <row r="32" spans="1:39" ht="18" hidden="1" x14ac:dyDescent="0.25">
      <c r="A32" s="327"/>
      <c r="B32" s="64"/>
      <c r="C32" s="302"/>
      <c r="D32" s="302"/>
      <c r="E32" s="248"/>
      <c r="F32" s="84"/>
      <c r="G32" s="55"/>
      <c r="H32" s="55"/>
      <c r="I32" s="55"/>
      <c r="J32" s="84"/>
      <c r="K32" s="33"/>
      <c r="L32" s="33"/>
      <c r="M32" s="33"/>
      <c r="N32" s="33"/>
      <c r="O32" s="33"/>
      <c r="P32" s="33"/>
      <c r="Q32" s="33"/>
      <c r="R32" s="33"/>
      <c r="S32" s="33"/>
      <c r="T32" s="33"/>
      <c r="U32" s="33"/>
      <c r="V32" s="33"/>
      <c r="W32" s="33"/>
      <c r="X32" s="33"/>
    </row>
    <row r="33" spans="1:24" x14ac:dyDescent="0.2">
      <c r="A33" s="395" t="s">
        <v>177</v>
      </c>
      <c r="B33" s="500">
        <v>133122233</v>
      </c>
      <c r="C33" s="500">
        <v>0</v>
      </c>
      <c r="D33" s="500">
        <f t="shared" ref="D33:D39" si="2">+B33+C33</f>
        <v>133122233</v>
      </c>
      <c r="E33" s="337"/>
      <c r="F33" s="84"/>
      <c r="G33" s="84"/>
      <c r="H33" s="84"/>
      <c r="I33" s="84"/>
      <c r="K33" s="33"/>
      <c r="L33" s="33"/>
      <c r="M33" s="33"/>
      <c r="N33" s="33"/>
      <c r="O33" s="33"/>
      <c r="P33" s="33"/>
      <c r="Q33" s="33"/>
      <c r="R33" s="33"/>
      <c r="S33" s="33"/>
      <c r="T33" s="33"/>
      <c r="U33" s="33"/>
      <c r="V33" s="33"/>
      <c r="W33" s="33"/>
      <c r="X33" s="33"/>
    </row>
    <row r="34" spans="1:24" x14ac:dyDescent="0.2">
      <c r="A34" s="395" t="s">
        <v>178</v>
      </c>
      <c r="B34" s="434">
        <v>33432303</v>
      </c>
      <c r="C34" s="434">
        <v>0</v>
      </c>
      <c r="D34" s="434">
        <f t="shared" si="2"/>
        <v>33432303</v>
      </c>
      <c r="E34" s="337"/>
      <c r="F34" s="84"/>
      <c r="G34" s="84"/>
      <c r="H34" s="84"/>
      <c r="I34" s="84"/>
      <c r="K34" s="33"/>
      <c r="L34" s="33"/>
      <c r="M34" s="33"/>
      <c r="N34" s="33"/>
      <c r="O34" s="33"/>
      <c r="P34" s="33"/>
      <c r="Q34" s="33"/>
      <c r="R34" s="33"/>
      <c r="S34" s="33"/>
      <c r="T34" s="33"/>
      <c r="U34" s="33"/>
      <c r="V34" s="33"/>
      <c r="W34" s="33"/>
      <c r="X34" s="33"/>
    </row>
    <row r="35" spans="1:24" x14ac:dyDescent="0.2">
      <c r="A35" s="395" t="s">
        <v>179</v>
      </c>
      <c r="B35" s="434">
        <v>38333833</v>
      </c>
      <c r="C35" s="434">
        <v>0</v>
      </c>
      <c r="D35" s="434">
        <f t="shared" si="2"/>
        <v>38333833</v>
      </c>
      <c r="E35" s="248"/>
      <c r="F35" s="84"/>
      <c r="K35" s="33"/>
      <c r="L35" s="33"/>
      <c r="M35" s="33"/>
      <c r="N35" s="33"/>
      <c r="O35" s="33"/>
      <c r="P35" s="33"/>
      <c r="Q35" s="33"/>
      <c r="R35" s="33"/>
      <c r="S35" s="33"/>
      <c r="T35" s="33"/>
      <c r="U35" s="33"/>
      <c r="V35" s="33"/>
      <c r="W35" s="33"/>
      <c r="X35" s="33"/>
    </row>
    <row r="36" spans="1:24" x14ac:dyDescent="0.2">
      <c r="A36" s="395" t="s">
        <v>223</v>
      </c>
      <c r="B36" s="434">
        <v>18540059</v>
      </c>
      <c r="C36" s="434">
        <v>0</v>
      </c>
      <c r="D36" s="434">
        <f t="shared" si="2"/>
        <v>18540059</v>
      </c>
      <c r="E36" s="248"/>
      <c r="F36" s="84"/>
      <c r="K36" s="33"/>
      <c r="L36" s="33"/>
      <c r="M36" s="33"/>
      <c r="N36" s="33"/>
      <c r="O36" s="33"/>
      <c r="P36" s="33"/>
      <c r="Q36" s="33"/>
      <c r="R36" s="33"/>
      <c r="S36" s="33"/>
      <c r="T36" s="33"/>
      <c r="U36" s="33"/>
      <c r="V36" s="33"/>
      <c r="W36" s="33"/>
      <c r="X36" s="33"/>
    </row>
    <row r="37" spans="1:24" x14ac:dyDescent="0.2">
      <c r="A37" s="395" t="s">
        <v>180</v>
      </c>
      <c r="B37" s="434">
        <v>3151471</v>
      </c>
      <c r="C37" s="434">
        <v>0</v>
      </c>
      <c r="D37" s="434">
        <f t="shared" si="2"/>
        <v>3151471</v>
      </c>
      <c r="E37" s="248"/>
      <c r="F37" s="84"/>
      <c r="K37" s="33"/>
      <c r="L37" s="33"/>
      <c r="M37" s="33"/>
      <c r="N37" s="33"/>
      <c r="O37" s="33"/>
      <c r="P37" s="33"/>
      <c r="Q37" s="33"/>
      <c r="R37" s="33"/>
      <c r="S37" s="33"/>
      <c r="T37" s="33"/>
      <c r="U37" s="33"/>
      <c r="V37" s="33"/>
      <c r="W37" s="33"/>
      <c r="X37" s="33"/>
    </row>
    <row r="38" spans="1:24" x14ac:dyDescent="0.2">
      <c r="A38" s="395" t="s">
        <v>181</v>
      </c>
      <c r="B38" s="434">
        <v>2393064</v>
      </c>
      <c r="C38" s="434">
        <v>0</v>
      </c>
      <c r="D38" s="434">
        <f t="shared" si="2"/>
        <v>2393064</v>
      </c>
      <c r="E38" s="248"/>
      <c r="F38" s="84"/>
      <c r="J38" s="84"/>
      <c r="K38" s="33"/>
      <c r="L38" s="33"/>
      <c r="M38" s="33"/>
      <c r="N38" s="33"/>
      <c r="O38" s="33"/>
      <c r="P38" s="33"/>
      <c r="Q38" s="33"/>
      <c r="R38" s="33"/>
      <c r="S38" s="33"/>
      <c r="T38" s="33"/>
      <c r="U38" s="33"/>
      <c r="V38" s="33"/>
      <c r="W38" s="33"/>
      <c r="X38" s="33"/>
    </row>
    <row r="39" spans="1:24" x14ac:dyDescent="0.2">
      <c r="A39" s="395" t="s">
        <v>195</v>
      </c>
      <c r="B39" s="434">
        <v>403106</v>
      </c>
      <c r="C39" s="434">
        <v>0</v>
      </c>
      <c r="D39" s="434">
        <f t="shared" si="2"/>
        <v>403106</v>
      </c>
      <c r="E39" s="248"/>
      <c r="F39" s="84"/>
      <c r="J39" s="84"/>
      <c r="K39" s="33"/>
      <c r="L39" s="33"/>
      <c r="M39" s="33"/>
      <c r="N39" s="33"/>
      <c r="O39" s="33"/>
      <c r="P39" s="33"/>
      <c r="Q39" s="33"/>
      <c r="R39" s="33"/>
      <c r="S39" s="33"/>
      <c r="T39" s="33"/>
      <c r="U39" s="33"/>
      <c r="V39" s="33"/>
      <c r="W39" s="33"/>
      <c r="X39" s="33"/>
    </row>
    <row r="40" spans="1:24" ht="18" customHeight="1" x14ac:dyDescent="0.25">
      <c r="A40" s="626" t="s">
        <v>182</v>
      </c>
      <c r="B40" s="627">
        <f>SUM(B33:B39)</f>
        <v>229376069</v>
      </c>
      <c r="C40" s="627">
        <f>SUM(C33:C39)</f>
        <v>0</v>
      </c>
      <c r="D40" s="627">
        <f>SUM(D33:D39)</f>
        <v>229376069</v>
      </c>
      <c r="E40" s="248"/>
      <c r="F40" s="84"/>
      <c r="J40" s="84"/>
      <c r="K40" s="33"/>
      <c r="L40" s="33"/>
      <c r="M40" s="33"/>
      <c r="N40" s="33"/>
      <c r="O40" s="33"/>
      <c r="P40" s="33"/>
      <c r="Q40" s="33"/>
      <c r="R40" s="33"/>
      <c r="S40" s="33"/>
      <c r="T40" s="33"/>
      <c r="U40" s="33"/>
      <c r="V40" s="33"/>
      <c r="W40" s="33"/>
      <c r="X40" s="33"/>
    </row>
    <row r="41" spans="1:24" ht="15.75" x14ac:dyDescent="0.25">
      <c r="A41" s="629" t="s">
        <v>183</v>
      </c>
      <c r="B41" s="628"/>
      <c r="C41" s="628"/>
      <c r="D41" s="628"/>
      <c r="E41" s="248"/>
      <c r="F41" s="84"/>
      <c r="J41" s="84"/>
      <c r="K41" s="33"/>
      <c r="L41" s="33"/>
      <c r="M41" s="33"/>
      <c r="N41" s="33"/>
      <c r="O41" s="33"/>
      <c r="P41" s="33"/>
      <c r="Q41" s="33"/>
      <c r="R41" s="33"/>
      <c r="S41" s="33"/>
      <c r="T41" s="33"/>
      <c r="U41" s="33"/>
      <c r="V41" s="33"/>
      <c r="W41" s="33"/>
      <c r="X41" s="33"/>
    </row>
    <row r="42" spans="1:24" x14ac:dyDescent="0.2">
      <c r="A42" s="430" t="s">
        <v>216</v>
      </c>
      <c r="B42" s="434">
        <v>10000000</v>
      </c>
      <c r="C42" s="434">
        <v>0</v>
      </c>
      <c r="D42" s="434">
        <f t="shared" ref="D42:D45" si="3">+B42+C42</f>
        <v>10000000</v>
      </c>
      <c r="E42" s="248"/>
      <c r="F42" s="84"/>
      <c r="G42" s="157"/>
      <c r="I42" s="157"/>
      <c r="J42" s="84"/>
      <c r="K42" s="33"/>
      <c r="L42" s="33"/>
      <c r="M42" s="33"/>
      <c r="N42" s="33"/>
      <c r="O42" s="33"/>
      <c r="P42" s="33"/>
      <c r="Q42" s="33"/>
      <c r="R42" s="33"/>
      <c r="S42" s="33"/>
      <c r="T42" s="33"/>
      <c r="U42" s="33"/>
      <c r="V42" s="33"/>
      <c r="W42" s="33"/>
      <c r="X42" s="33"/>
    </row>
    <row r="43" spans="1:24" x14ac:dyDescent="0.2">
      <c r="A43" s="430" t="s">
        <v>184</v>
      </c>
      <c r="B43" s="434">
        <v>1000000</v>
      </c>
      <c r="C43" s="434">
        <v>0</v>
      </c>
      <c r="D43" s="434">
        <f t="shared" si="3"/>
        <v>1000000</v>
      </c>
      <c r="E43" s="248"/>
      <c r="F43" s="84"/>
      <c r="G43" s="157"/>
      <c r="I43" s="157"/>
      <c r="J43" s="84"/>
      <c r="K43" s="33"/>
      <c r="L43" s="33"/>
      <c r="M43" s="33"/>
      <c r="N43" s="33"/>
      <c r="O43" s="33"/>
      <c r="P43" s="33"/>
      <c r="Q43" s="33"/>
      <c r="R43" s="33"/>
      <c r="S43" s="33"/>
      <c r="T43" s="33"/>
      <c r="U43" s="33"/>
      <c r="V43" s="33"/>
      <c r="W43" s="33"/>
      <c r="X43" s="33"/>
    </row>
    <row r="44" spans="1:24" x14ac:dyDescent="0.2">
      <c r="A44" s="430" t="s">
        <v>224</v>
      </c>
      <c r="B44" s="434">
        <v>1175000</v>
      </c>
      <c r="C44" s="434">
        <v>0</v>
      </c>
      <c r="D44" s="434">
        <f t="shared" si="3"/>
        <v>1175000</v>
      </c>
      <c r="E44" s="248"/>
      <c r="G44" s="157"/>
      <c r="I44" s="157"/>
      <c r="J44" s="84"/>
      <c r="K44" s="33"/>
      <c r="L44" s="33"/>
      <c r="M44" s="33"/>
      <c r="N44" s="33"/>
      <c r="O44" s="33"/>
      <c r="P44" s="33"/>
      <c r="Q44" s="33"/>
      <c r="R44" s="33"/>
      <c r="S44" s="33"/>
      <c r="T44" s="33"/>
      <c r="U44" s="33"/>
      <c r="V44" s="33"/>
      <c r="W44" s="33"/>
      <c r="X44" s="33"/>
    </row>
    <row r="45" spans="1:24" x14ac:dyDescent="0.2">
      <c r="A45" s="430" t="s">
        <v>188</v>
      </c>
      <c r="B45" s="434">
        <v>8808376</v>
      </c>
      <c r="C45" s="434">
        <v>-783410</v>
      </c>
      <c r="D45" s="434">
        <f t="shared" si="3"/>
        <v>8024966</v>
      </c>
      <c r="E45" s="248"/>
      <c r="G45" s="157"/>
      <c r="I45" s="157"/>
      <c r="J45" s="84"/>
      <c r="K45" s="33"/>
      <c r="L45" s="33"/>
      <c r="M45" s="33"/>
      <c r="N45" s="33"/>
      <c r="O45" s="33"/>
      <c r="P45" s="33"/>
      <c r="Q45" s="33"/>
      <c r="R45" s="33"/>
      <c r="S45" s="33"/>
      <c r="T45" s="33"/>
      <c r="U45" s="33"/>
      <c r="V45" s="33"/>
      <c r="W45" s="33"/>
      <c r="X45" s="33"/>
    </row>
    <row r="46" spans="1:24" ht="15.75" x14ac:dyDescent="0.25">
      <c r="A46" s="629" t="s">
        <v>185</v>
      </c>
      <c r="B46" s="628">
        <f>SUM(B42:B45)</f>
        <v>20983376</v>
      </c>
      <c r="C46" s="628">
        <f>SUM(C42:C45)</f>
        <v>-783410</v>
      </c>
      <c r="D46" s="628">
        <f>SUM(D42:D45)</f>
        <v>20199966</v>
      </c>
      <c r="E46" s="248"/>
      <c r="G46" s="157"/>
      <c r="J46" s="84"/>
      <c r="K46" s="33"/>
      <c r="L46" s="33"/>
      <c r="M46" s="33"/>
      <c r="N46" s="33"/>
      <c r="O46" s="33"/>
      <c r="P46" s="33"/>
      <c r="Q46" s="33"/>
      <c r="R46" s="33"/>
      <c r="S46" s="33"/>
      <c r="T46" s="33"/>
      <c r="U46" s="33"/>
      <c r="V46" s="33"/>
      <c r="W46" s="33"/>
      <c r="X46" s="33"/>
    </row>
    <row r="47" spans="1:24" ht="18.75" thickBot="1" x14ac:dyDescent="0.3">
      <c r="A47" s="624" t="s">
        <v>201</v>
      </c>
      <c r="B47" s="625">
        <f>SUBTOTAL(9,B40:B45)</f>
        <v>250359445</v>
      </c>
      <c r="C47" s="625">
        <f>SUBTOTAL(9,C40:C45)</f>
        <v>-783410</v>
      </c>
      <c r="D47" s="625">
        <f>SUBTOTAL(9,D40:D45)</f>
        <v>249576035</v>
      </c>
      <c r="E47" s="248"/>
      <c r="F47" s="521"/>
      <c r="G47" s="521"/>
      <c r="H47" s="521"/>
      <c r="J47" s="84"/>
      <c r="K47" s="33"/>
      <c r="L47" s="33"/>
      <c r="M47" s="33"/>
      <c r="N47" s="33"/>
      <c r="O47" s="33"/>
      <c r="P47" s="33"/>
      <c r="Q47" s="33"/>
      <c r="R47" s="33"/>
      <c r="S47" s="33"/>
      <c r="T47" s="33"/>
      <c r="U47" s="33"/>
      <c r="V47" s="33"/>
      <c r="W47" s="33"/>
      <c r="X47" s="33"/>
    </row>
    <row r="48" spans="1:24" ht="18.75" thickTop="1" x14ac:dyDescent="0.25">
      <c r="A48" s="303"/>
      <c r="B48" s="301"/>
      <c r="C48" s="248"/>
      <c r="D48" s="248"/>
      <c r="E48" s="248"/>
      <c r="J48" s="84"/>
      <c r="K48" s="33"/>
      <c r="L48" s="33"/>
      <c r="M48" s="33"/>
      <c r="N48" s="33"/>
      <c r="O48" s="33"/>
      <c r="P48" s="33"/>
      <c r="Q48" s="33"/>
      <c r="R48" s="33"/>
      <c r="S48" s="33"/>
      <c r="T48" s="33"/>
      <c r="U48" s="33"/>
      <c r="V48" s="33"/>
      <c r="W48" s="33"/>
      <c r="X48" s="33"/>
    </row>
    <row r="49" spans="1:39" s="47" customFormat="1" ht="20.25" customHeight="1" x14ac:dyDescent="0.25">
      <c r="A49" s="435"/>
      <c r="B49" s="301"/>
      <c r="C49" s="436"/>
      <c r="D49" s="248"/>
      <c r="E49" s="330"/>
      <c r="G49" s="522"/>
      <c r="J49" s="107"/>
      <c r="K49" s="28"/>
      <c r="L49" s="28"/>
      <c r="M49" s="28"/>
      <c r="N49" s="28"/>
      <c r="O49" s="28"/>
      <c r="P49" s="28"/>
      <c r="Q49" s="28"/>
      <c r="R49" s="28"/>
      <c r="S49" s="28"/>
      <c r="T49" s="28"/>
      <c r="U49" s="28"/>
      <c r="V49" s="28"/>
      <c r="W49" s="28"/>
      <c r="X49" s="28"/>
    </row>
    <row r="50" spans="1:39" ht="18" x14ac:dyDescent="0.25">
      <c r="A50" s="439"/>
      <c r="B50" s="299"/>
      <c r="C50" s="300"/>
      <c r="D50" s="300"/>
      <c r="E50" s="248"/>
      <c r="J50" s="84"/>
      <c r="K50" s="33"/>
      <c r="L50" s="33"/>
      <c r="M50" s="33"/>
      <c r="N50" s="33"/>
      <c r="O50" s="33"/>
      <c r="P50" s="33"/>
      <c r="Q50" s="33"/>
      <c r="R50" s="33"/>
      <c r="S50" s="33"/>
      <c r="T50" s="33"/>
      <c r="U50" s="33"/>
      <c r="V50" s="33"/>
      <c r="W50" s="33"/>
      <c r="X50" s="33"/>
    </row>
    <row r="51" spans="1:39" ht="15.75" x14ac:dyDescent="0.25">
      <c r="A51" s="439"/>
      <c r="B51" s="443"/>
      <c r="C51" s="445"/>
      <c r="D51" s="446"/>
      <c r="E51" s="248"/>
      <c r="F51" s="149"/>
      <c r="H51" s="33"/>
      <c r="I51" s="33"/>
      <c r="J51" s="33"/>
      <c r="K51" s="33"/>
      <c r="L51" s="33"/>
      <c r="M51" s="33"/>
      <c r="N51" s="33"/>
      <c r="O51" s="33"/>
      <c r="P51" s="33"/>
      <c r="Q51" s="33"/>
      <c r="R51" s="33"/>
      <c r="S51" s="33"/>
      <c r="T51" s="33"/>
      <c r="U51" s="33"/>
      <c r="V51" s="33"/>
      <c r="W51" s="33"/>
      <c r="X51" s="33"/>
    </row>
    <row r="52" spans="1:39" x14ac:dyDescent="0.2">
      <c r="A52" s="447"/>
      <c r="B52" s="454"/>
      <c r="C52" s="447"/>
      <c r="D52" s="447"/>
      <c r="E52" s="248"/>
      <c r="F52" s="33"/>
      <c r="H52" s="33"/>
      <c r="I52" s="33"/>
      <c r="J52" s="33"/>
      <c r="K52" s="33"/>
      <c r="L52" s="33"/>
      <c r="M52" s="33"/>
      <c r="N52" s="33"/>
      <c r="O52" s="33"/>
      <c r="P52" s="33"/>
      <c r="Q52" s="33"/>
      <c r="R52" s="33"/>
      <c r="S52" s="33"/>
      <c r="T52" s="33"/>
      <c r="U52" s="33"/>
      <c r="V52" s="33"/>
      <c r="W52" s="33"/>
      <c r="X52" s="33"/>
      <c r="Y52" s="450"/>
      <c r="Z52" s="450"/>
      <c r="AA52" s="450"/>
      <c r="AB52" s="450"/>
      <c r="AC52" s="450"/>
      <c r="AD52" s="450"/>
      <c r="AE52" s="450"/>
    </row>
    <row r="53" spans="1:39" ht="18" x14ac:dyDescent="0.25">
      <c r="A53" s="421"/>
      <c r="B53" s="61"/>
      <c r="C53" s="62"/>
      <c r="D53" s="62"/>
      <c r="E53" s="455"/>
      <c r="F53" s="33"/>
      <c r="G53" s="157"/>
      <c r="H53" s="456"/>
      <c r="I53" s="456"/>
      <c r="J53" s="447"/>
      <c r="K53" s="447"/>
      <c r="L53" s="457"/>
      <c r="M53" s="457"/>
      <c r="N53" s="62"/>
      <c r="O53" s="62"/>
      <c r="P53" s="62"/>
      <c r="Q53" s="62"/>
      <c r="R53" s="62"/>
      <c r="S53" s="62"/>
      <c r="T53" s="62"/>
      <c r="U53" s="62"/>
      <c r="V53" s="62"/>
      <c r="W53" s="62"/>
      <c r="X53" s="62"/>
      <c r="Y53" s="450"/>
      <c r="Z53" s="450"/>
      <c r="AA53" s="450"/>
      <c r="AB53" s="450"/>
      <c r="AC53" s="450"/>
      <c r="AD53" s="450"/>
      <c r="AE53" s="450"/>
      <c r="AF53" s="450"/>
    </row>
    <row r="54" spans="1:39" x14ac:dyDescent="0.2">
      <c r="A54" s="211" t="s">
        <v>77</v>
      </c>
      <c r="B54" s="213">
        <f>B25-B47</f>
        <v>0</v>
      </c>
      <c r="C54" s="213">
        <f>C25-C47</f>
        <v>0</v>
      </c>
      <c r="D54" s="213">
        <f>D25-D47</f>
        <v>0</v>
      </c>
      <c r="E54" s="447"/>
      <c r="F54" s="447"/>
      <c r="G54" s="456"/>
      <c r="H54" s="459"/>
      <c r="I54" s="456"/>
      <c r="J54" s="447"/>
      <c r="K54" s="447"/>
      <c r="L54" s="447"/>
      <c r="M54" s="447"/>
      <c r="N54" s="62"/>
      <c r="O54" s="62"/>
      <c r="P54" s="62"/>
      <c r="Q54" s="62"/>
      <c r="R54" s="62"/>
      <c r="S54" s="62"/>
      <c r="T54" s="62"/>
      <c r="U54" s="62"/>
      <c r="V54" s="62"/>
      <c r="W54" s="62"/>
      <c r="X54" s="62"/>
      <c r="Y54" s="450"/>
      <c r="Z54" s="450"/>
      <c r="AA54" s="450"/>
      <c r="AB54" s="450"/>
      <c r="AC54" s="450"/>
      <c r="AD54" s="450"/>
      <c r="AE54" s="450"/>
      <c r="AF54" s="450"/>
    </row>
    <row r="55" spans="1:39" x14ac:dyDescent="0.2">
      <c r="B55" s="163"/>
      <c r="C55" s="163"/>
      <c r="D55" s="163"/>
      <c r="E55" s="62"/>
      <c r="F55" s="62"/>
      <c r="G55" s="456"/>
      <c r="H55" s="164"/>
      <c r="I55" s="456"/>
      <c r="J55" s="62"/>
      <c r="K55" s="62"/>
      <c r="L55" s="62"/>
      <c r="M55" s="62"/>
      <c r="N55" s="62"/>
      <c r="O55" s="62"/>
      <c r="P55" s="62"/>
      <c r="Q55" s="62"/>
      <c r="R55" s="62"/>
      <c r="S55" s="62"/>
      <c r="T55" s="62"/>
      <c r="U55" s="62"/>
      <c r="V55" s="62"/>
      <c r="W55" s="62"/>
      <c r="X55" s="62"/>
      <c r="Y55" s="450"/>
      <c r="Z55" s="450"/>
      <c r="AA55" s="450"/>
      <c r="AB55" s="450"/>
      <c r="AC55" s="450"/>
      <c r="AD55" s="450"/>
      <c r="AE55" s="450"/>
      <c r="AF55" s="450"/>
    </row>
    <row r="56" spans="1:39" ht="18" x14ac:dyDescent="0.25">
      <c r="A56" s="110"/>
      <c r="B56" s="63"/>
      <c r="C56" s="462"/>
      <c r="D56" s="462"/>
      <c r="E56" s="161"/>
      <c r="F56" s="161"/>
      <c r="G56" s="164"/>
      <c r="H56" s="169"/>
      <c r="I56" s="169"/>
      <c r="J56" s="161"/>
      <c r="K56" s="161"/>
      <c r="L56" s="161"/>
      <c r="M56" s="161"/>
      <c r="N56" s="161"/>
      <c r="O56" s="161"/>
      <c r="P56" s="161"/>
      <c r="Q56" s="161"/>
      <c r="R56" s="161"/>
      <c r="S56" s="161"/>
      <c r="T56" s="161"/>
      <c r="U56" s="161"/>
      <c r="V56" s="161"/>
      <c r="W56" s="161"/>
      <c r="X56" s="161"/>
      <c r="Y56" s="161"/>
      <c r="Z56" s="161"/>
      <c r="AA56" s="161"/>
      <c r="AB56" s="161"/>
      <c r="AC56" s="161"/>
      <c r="AD56" s="161"/>
      <c r="AE56" s="161"/>
      <c r="AF56" s="163"/>
      <c r="AG56" s="163"/>
      <c r="AH56" s="163"/>
      <c r="AI56" s="163"/>
      <c r="AJ56" s="163"/>
      <c r="AK56" s="163"/>
      <c r="AL56" s="163"/>
      <c r="AM56" s="163"/>
    </row>
    <row r="57" spans="1:39" ht="18" x14ac:dyDescent="0.25">
      <c r="A57" s="421"/>
      <c r="B57" s="63"/>
      <c r="C57" s="33"/>
      <c r="D57" s="33"/>
      <c r="E57" s="163"/>
      <c r="F57" s="163"/>
      <c r="G57" s="169"/>
      <c r="H57" s="172"/>
      <c r="I57" s="172"/>
      <c r="J57" s="163"/>
      <c r="K57" s="163"/>
      <c r="L57" s="163"/>
      <c r="M57" s="163"/>
      <c r="N57" s="163"/>
      <c r="O57" s="163"/>
      <c r="P57" s="163"/>
      <c r="Q57" s="163"/>
      <c r="R57" s="163"/>
      <c r="S57" s="163"/>
      <c r="T57" s="163"/>
      <c r="U57" s="163"/>
      <c r="V57" s="163"/>
      <c r="W57" s="163"/>
      <c r="X57" s="163"/>
      <c r="Y57" s="163"/>
      <c r="Z57" s="163"/>
      <c r="AA57" s="163"/>
      <c r="AB57" s="163"/>
      <c r="AC57" s="163"/>
      <c r="AD57" s="163"/>
      <c r="AE57" s="163"/>
      <c r="AF57" s="163"/>
      <c r="AG57" s="163"/>
      <c r="AH57" s="163"/>
      <c r="AI57" s="163"/>
      <c r="AJ57" s="163"/>
      <c r="AK57" s="163"/>
      <c r="AL57" s="163"/>
      <c r="AM57" s="163"/>
    </row>
    <row r="58" spans="1:39" ht="18" x14ac:dyDescent="0.25">
      <c r="A58" s="421"/>
      <c r="B58" s="63"/>
      <c r="C58" s="33"/>
      <c r="D58" s="33"/>
      <c r="E58" s="462"/>
      <c r="J58" s="462"/>
      <c r="K58" s="462"/>
      <c r="L58" s="462"/>
      <c r="M58" s="462"/>
      <c r="N58" s="462"/>
      <c r="O58" s="462"/>
      <c r="P58" s="462"/>
      <c r="Q58" s="462"/>
      <c r="R58" s="462"/>
      <c r="S58" s="462"/>
      <c r="T58" s="462"/>
      <c r="U58" s="462"/>
      <c r="V58" s="462"/>
      <c r="W58" s="462"/>
      <c r="X58" s="462"/>
    </row>
    <row r="59" spans="1:39" ht="18" x14ac:dyDescent="0.25">
      <c r="A59" s="421"/>
      <c r="B59" s="352"/>
      <c r="C59" s="33"/>
      <c r="D59" s="33"/>
      <c r="E59" s="33"/>
      <c r="F59" s="462"/>
      <c r="G59" s="172"/>
      <c r="H59" s="157"/>
      <c r="I59" s="157"/>
      <c r="J59" s="33"/>
      <c r="K59" s="33"/>
      <c r="L59" s="33"/>
      <c r="M59" s="33"/>
      <c r="N59" s="33"/>
      <c r="O59" s="33"/>
      <c r="P59" s="33"/>
      <c r="Q59" s="33"/>
      <c r="R59" s="33"/>
      <c r="S59" s="33"/>
      <c r="T59" s="33"/>
      <c r="U59" s="33"/>
      <c r="V59" s="33"/>
      <c r="W59" s="33"/>
      <c r="X59" s="33"/>
    </row>
    <row r="60" spans="1:39" ht="18" x14ac:dyDescent="0.25">
      <c r="A60" s="421"/>
      <c r="B60" s="352"/>
      <c r="C60" s="33"/>
      <c r="D60" s="33"/>
      <c r="E60" s="33"/>
      <c r="F60" s="33"/>
      <c r="G60" s="157"/>
      <c r="H60" s="177"/>
      <c r="I60" s="177"/>
      <c r="J60" s="33"/>
      <c r="K60" s="33"/>
      <c r="L60" s="33"/>
      <c r="M60" s="33"/>
      <c r="N60" s="33"/>
      <c r="O60" s="33"/>
      <c r="P60" s="33"/>
      <c r="Q60" s="33"/>
      <c r="R60" s="33"/>
      <c r="S60" s="33"/>
      <c r="T60" s="33"/>
      <c r="U60" s="33"/>
      <c r="V60" s="33"/>
      <c r="W60" s="33"/>
      <c r="X60" s="33"/>
    </row>
    <row r="61" spans="1:39" ht="18" x14ac:dyDescent="0.25">
      <c r="A61" s="421"/>
      <c r="B61" s="352"/>
      <c r="C61" s="33"/>
      <c r="D61" s="33"/>
      <c r="E61" s="33"/>
      <c r="F61" s="33"/>
      <c r="G61" s="177"/>
      <c r="H61" s="177"/>
      <c r="I61" s="177"/>
      <c r="J61" s="33"/>
      <c r="K61" s="33"/>
      <c r="L61" s="33"/>
      <c r="M61" s="33"/>
      <c r="N61" s="33"/>
      <c r="O61" s="33"/>
      <c r="P61" s="33"/>
      <c r="Q61" s="33"/>
      <c r="R61" s="33"/>
      <c r="S61" s="33"/>
      <c r="T61" s="33"/>
      <c r="U61" s="33"/>
      <c r="V61" s="33"/>
      <c r="W61" s="33"/>
      <c r="X61" s="33"/>
    </row>
    <row r="62" spans="1:39" ht="18" x14ac:dyDescent="0.25">
      <c r="A62" s="421"/>
      <c r="B62" s="473"/>
      <c r="C62" s="33"/>
      <c r="D62" s="33"/>
      <c r="E62" s="33"/>
      <c r="F62" s="33"/>
      <c r="G62" s="177"/>
      <c r="H62" s="177"/>
      <c r="I62" s="177"/>
      <c r="J62" s="33"/>
      <c r="K62" s="33"/>
      <c r="L62" s="33"/>
      <c r="M62" s="33"/>
      <c r="N62" s="33"/>
      <c r="O62" s="33"/>
      <c r="P62" s="33"/>
      <c r="Q62" s="33"/>
      <c r="R62" s="33"/>
      <c r="S62" s="33"/>
      <c r="T62" s="33"/>
      <c r="U62" s="33"/>
      <c r="V62" s="33"/>
      <c r="W62" s="33"/>
      <c r="X62" s="33"/>
    </row>
    <row r="63" spans="1:39" ht="18" x14ac:dyDescent="0.25">
      <c r="A63" s="421"/>
      <c r="B63" s="475"/>
      <c r="C63" s="33"/>
      <c r="D63" s="33"/>
      <c r="E63" s="33"/>
      <c r="F63" s="33"/>
      <c r="G63" s="177"/>
      <c r="H63" s="177"/>
      <c r="I63" s="177"/>
      <c r="J63" s="33"/>
      <c r="K63" s="33"/>
      <c r="L63" s="33"/>
      <c r="M63" s="33"/>
      <c r="N63" s="33"/>
      <c r="O63" s="33"/>
      <c r="P63" s="33"/>
      <c r="Q63" s="33"/>
      <c r="R63" s="33"/>
      <c r="S63" s="33"/>
      <c r="T63" s="33"/>
      <c r="U63" s="33"/>
      <c r="V63" s="33"/>
      <c r="W63" s="33"/>
      <c r="X63" s="33"/>
    </row>
    <row r="64" spans="1:39" ht="18" x14ac:dyDescent="0.25">
      <c r="A64" s="421"/>
      <c r="B64" s="475"/>
      <c r="C64" s="33"/>
      <c r="D64" s="33"/>
      <c r="E64" s="33"/>
      <c r="F64" s="33"/>
      <c r="G64" s="177"/>
      <c r="H64" s="177"/>
      <c r="I64" s="177"/>
      <c r="J64" s="33"/>
      <c r="K64" s="33"/>
      <c r="L64" s="33"/>
      <c r="M64" s="33"/>
      <c r="N64" s="33"/>
      <c r="O64" s="33"/>
      <c r="P64" s="33"/>
      <c r="Q64" s="33"/>
      <c r="R64" s="33"/>
      <c r="S64" s="33"/>
      <c r="T64" s="33"/>
      <c r="U64" s="33"/>
      <c r="V64" s="33"/>
      <c r="W64" s="33"/>
      <c r="X64" s="33"/>
    </row>
    <row r="65" spans="1:24" ht="18" x14ac:dyDescent="0.25">
      <c r="A65" s="421"/>
      <c r="B65" s="475"/>
      <c r="C65" s="33"/>
      <c r="D65" s="33"/>
      <c r="E65" s="33"/>
      <c r="F65" s="33"/>
      <c r="G65" s="33"/>
      <c r="H65" s="33"/>
      <c r="I65" s="33"/>
      <c r="J65" s="33"/>
      <c r="K65" s="33"/>
      <c r="L65" s="33"/>
      <c r="M65" s="33"/>
      <c r="N65" s="33"/>
      <c r="O65" s="33"/>
      <c r="P65" s="33"/>
      <c r="Q65" s="33"/>
      <c r="R65" s="33"/>
      <c r="S65" s="33"/>
      <c r="T65" s="33"/>
      <c r="U65" s="33"/>
      <c r="V65" s="33"/>
      <c r="W65" s="33"/>
      <c r="X65" s="33"/>
    </row>
    <row r="66" spans="1:24" ht="18" x14ac:dyDescent="0.25">
      <c r="A66" s="421"/>
      <c r="B66" s="475"/>
      <c r="C66" s="33"/>
      <c r="D66" s="33"/>
      <c r="E66" s="33"/>
      <c r="F66" s="84"/>
      <c r="G66" s="84"/>
      <c r="H66" s="186"/>
      <c r="I66" s="33"/>
      <c r="J66" s="33"/>
      <c r="K66" s="33"/>
      <c r="L66" s="33"/>
      <c r="M66" s="33"/>
      <c r="N66" s="33"/>
      <c r="O66" s="33"/>
      <c r="P66" s="33"/>
      <c r="Q66" s="33"/>
      <c r="R66" s="33"/>
      <c r="S66" s="33"/>
      <c r="T66" s="33"/>
      <c r="U66" s="33"/>
      <c r="V66" s="33"/>
      <c r="W66" s="33"/>
      <c r="X66" s="33"/>
    </row>
    <row r="67" spans="1:24" ht="18" x14ac:dyDescent="0.25">
      <c r="A67" s="421"/>
      <c r="B67" s="475"/>
      <c r="C67" s="33"/>
      <c r="D67" s="33"/>
      <c r="E67" s="33"/>
      <c r="F67" s="84"/>
      <c r="G67" s="84"/>
      <c r="H67" s="186"/>
      <c r="I67" s="33"/>
      <c r="J67" s="33"/>
      <c r="K67" s="33"/>
      <c r="L67" s="33"/>
      <c r="M67" s="33"/>
      <c r="N67" s="33"/>
      <c r="O67" s="33"/>
      <c r="P67" s="33"/>
      <c r="Q67" s="33"/>
      <c r="R67" s="33"/>
      <c r="S67" s="33"/>
      <c r="T67" s="33"/>
      <c r="U67" s="33"/>
      <c r="V67" s="33"/>
      <c r="W67" s="33"/>
      <c r="X67" s="33"/>
    </row>
    <row r="68" spans="1:24" ht="18" x14ac:dyDescent="0.25">
      <c r="A68" s="421"/>
      <c r="B68" s="475"/>
      <c r="C68" s="33"/>
      <c r="D68" s="33"/>
      <c r="E68" s="33"/>
      <c r="F68" s="84"/>
      <c r="G68" s="84"/>
      <c r="H68" s="186"/>
      <c r="I68" s="33"/>
      <c r="J68" s="33"/>
      <c r="K68" s="33"/>
      <c r="L68" s="33"/>
      <c r="M68" s="33"/>
      <c r="N68" s="33"/>
      <c r="O68" s="33"/>
      <c r="P68" s="33"/>
      <c r="Q68" s="33"/>
      <c r="R68" s="33"/>
      <c r="S68" s="33"/>
      <c r="T68" s="33"/>
      <c r="U68" s="33"/>
      <c r="V68" s="33"/>
      <c r="W68" s="33"/>
      <c r="X68" s="33"/>
    </row>
    <row r="69" spans="1:24" ht="18" x14ac:dyDescent="0.25">
      <c r="A69" s="421"/>
      <c r="B69" s="475"/>
      <c r="C69" s="33"/>
      <c r="D69" s="33"/>
      <c r="E69" s="33"/>
      <c r="F69" s="84"/>
      <c r="G69" s="84"/>
      <c r="H69" s="186"/>
      <c r="I69" s="33"/>
      <c r="J69" s="33"/>
      <c r="K69" s="33"/>
      <c r="L69" s="33"/>
      <c r="M69" s="33"/>
      <c r="N69" s="33"/>
      <c r="O69" s="33"/>
      <c r="P69" s="33"/>
      <c r="Q69" s="33"/>
      <c r="R69" s="33"/>
      <c r="S69" s="33"/>
      <c r="T69" s="33"/>
      <c r="U69" s="33"/>
      <c r="V69" s="33"/>
      <c r="W69" s="33"/>
      <c r="X69" s="33"/>
    </row>
    <row r="70" spans="1:24" ht="18" x14ac:dyDescent="0.25">
      <c r="B70" s="475"/>
      <c r="C70" s="33"/>
      <c r="D70" s="33"/>
      <c r="E70" s="33"/>
      <c r="F70" s="84"/>
      <c r="G70" s="84"/>
      <c r="H70" s="190"/>
      <c r="I70" s="33"/>
      <c r="J70" s="33"/>
      <c r="K70" s="33"/>
      <c r="L70" s="33"/>
      <c r="M70" s="33"/>
      <c r="N70" s="33"/>
      <c r="O70" s="33"/>
      <c r="P70" s="33"/>
      <c r="Q70" s="33"/>
      <c r="R70" s="33"/>
      <c r="S70" s="33"/>
      <c r="T70" s="33"/>
      <c r="U70" s="33"/>
      <c r="V70" s="33"/>
      <c r="W70" s="33"/>
      <c r="X70" s="33"/>
    </row>
    <row r="71" spans="1:24" ht="18" x14ac:dyDescent="0.25">
      <c r="B71" s="475"/>
      <c r="C71" s="33"/>
      <c r="D71" s="33"/>
      <c r="E71" s="33"/>
      <c r="F71" s="84"/>
      <c r="G71" s="84"/>
      <c r="H71" s="186"/>
      <c r="I71" s="33"/>
      <c r="J71" s="33"/>
      <c r="K71" s="33"/>
      <c r="L71" s="33"/>
      <c r="M71" s="33"/>
      <c r="N71" s="33"/>
      <c r="O71" s="33"/>
      <c r="P71" s="33"/>
      <c r="Q71" s="33"/>
      <c r="R71" s="33"/>
      <c r="S71" s="33"/>
      <c r="T71" s="33"/>
      <c r="U71" s="33"/>
      <c r="V71" s="33"/>
      <c r="W71" s="33"/>
      <c r="X71" s="33"/>
    </row>
    <row r="72" spans="1:24" ht="18" x14ac:dyDescent="0.25">
      <c r="B72" s="475"/>
      <c r="C72" s="33"/>
      <c r="D72" s="33"/>
      <c r="E72" s="33"/>
      <c r="F72" s="84"/>
      <c r="G72" s="84"/>
      <c r="H72" s="186"/>
      <c r="I72" s="33"/>
      <c r="J72" s="33"/>
      <c r="K72" s="33"/>
      <c r="L72" s="33"/>
      <c r="M72" s="33"/>
      <c r="N72" s="33"/>
      <c r="O72" s="33"/>
      <c r="P72" s="33"/>
      <c r="Q72" s="33"/>
      <c r="R72" s="33"/>
      <c r="S72" s="33"/>
      <c r="T72" s="33"/>
      <c r="U72" s="33"/>
      <c r="V72" s="33"/>
      <c r="W72" s="33"/>
      <c r="X72" s="33"/>
    </row>
    <row r="73" spans="1:24" ht="18" x14ac:dyDescent="0.25">
      <c r="B73" s="475"/>
      <c r="C73" s="33"/>
      <c r="D73" s="33"/>
      <c r="E73" s="33"/>
      <c r="F73" s="84"/>
      <c r="G73" s="84"/>
      <c r="H73" s="186"/>
      <c r="I73" s="33"/>
      <c r="J73" s="33"/>
      <c r="K73" s="33"/>
      <c r="L73" s="33"/>
      <c r="M73" s="33"/>
      <c r="N73" s="33"/>
      <c r="O73" s="33"/>
      <c r="P73" s="33"/>
      <c r="Q73" s="33"/>
      <c r="R73" s="33"/>
      <c r="S73" s="33"/>
      <c r="T73" s="33"/>
      <c r="U73" s="33"/>
      <c r="V73" s="33"/>
      <c r="W73" s="33"/>
      <c r="X73" s="33"/>
    </row>
    <row r="74" spans="1:24" ht="18" x14ac:dyDescent="0.25">
      <c r="B74" s="475"/>
      <c r="C74" s="33"/>
      <c r="D74" s="33"/>
      <c r="E74" s="33"/>
      <c r="F74" s="84"/>
      <c r="G74" s="84"/>
      <c r="H74" s="186"/>
      <c r="I74" s="33"/>
      <c r="J74" s="33"/>
      <c r="K74" s="33"/>
      <c r="L74" s="33"/>
      <c r="M74" s="33"/>
      <c r="N74" s="33"/>
      <c r="O74" s="33"/>
      <c r="P74" s="33"/>
      <c r="Q74" s="33"/>
      <c r="R74" s="33"/>
      <c r="S74" s="33"/>
      <c r="T74" s="33"/>
      <c r="U74" s="33"/>
      <c r="V74" s="33"/>
      <c r="W74" s="33"/>
      <c r="X74" s="33"/>
    </row>
    <row r="75" spans="1:24" ht="18" x14ac:dyDescent="0.25">
      <c r="B75" s="475"/>
      <c r="C75" s="33"/>
      <c r="D75" s="33"/>
      <c r="E75" s="33"/>
      <c r="F75" s="33"/>
      <c r="G75" s="33"/>
      <c r="H75" s="33"/>
      <c r="I75" s="33"/>
      <c r="J75" s="33"/>
      <c r="K75" s="33"/>
      <c r="L75" s="33"/>
      <c r="M75" s="33"/>
      <c r="N75" s="33"/>
      <c r="O75" s="33"/>
      <c r="P75" s="33"/>
      <c r="Q75" s="33"/>
      <c r="R75" s="33"/>
      <c r="S75" s="33"/>
      <c r="T75" s="33"/>
      <c r="U75" s="33"/>
      <c r="V75" s="33"/>
      <c r="W75" s="33"/>
      <c r="X75" s="33"/>
    </row>
    <row r="76" spans="1:24" ht="18" x14ac:dyDescent="0.25">
      <c r="B76" s="475"/>
      <c r="C76" s="33"/>
      <c r="D76" s="33"/>
      <c r="E76" s="33"/>
      <c r="F76" s="33"/>
      <c r="G76" s="33"/>
      <c r="H76" s="33"/>
      <c r="I76" s="33"/>
      <c r="J76" s="33"/>
      <c r="K76" s="33"/>
      <c r="L76" s="33"/>
      <c r="M76" s="33"/>
      <c r="N76" s="33"/>
      <c r="O76" s="33"/>
      <c r="P76" s="33"/>
      <c r="Q76" s="33"/>
      <c r="R76" s="33"/>
      <c r="S76" s="33"/>
      <c r="T76" s="33"/>
      <c r="U76" s="33"/>
      <c r="V76" s="33"/>
      <c r="W76" s="33"/>
      <c r="X76" s="33"/>
    </row>
    <row r="77" spans="1:24" ht="18" x14ac:dyDescent="0.25">
      <c r="B77" s="475"/>
      <c r="C77" s="33"/>
      <c r="D77" s="33"/>
      <c r="E77" s="33"/>
      <c r="F77" s="33"/>
      <c r="G77" s="33"/>
      <c r="H77" s="33"/>
      <c r="I77" s="33"/>
      <c r="J77" s="33"/>
      <c r="K77" s="33"/>
      <c r="L77" s="33"/>
      <c r="M77" s="33"/>
      <c r="N77" s="33"/>
      <c r="O77" s="33"/>
      <c r="P77" s="33"/>
      <c r="Q77" s="33"/>
      <c r="R77" s="33"/>
      <c r="S77" s="33"/>
      <c r="T77" s="33"/>
      <c r="U77" s="33"/>
      <c r="V77" s="33"/>
      <c r="W77" s="33"/>
      <c r="X77" s="33"/>
    </row>
    <row r="78" spans="1:24" ht="18" x14ac:dyDescent="0.25">
      <c r="B78" s="475"/>
      <c r="C78" s="33"/>
      <c r="D78" s="33"/>
      <c r="E78" s="33"/>
      <c r="F78" s="33"/>
      <c r="G78" s="33"/>
      <c r="H78" s="33"/>
      <c r="I78" s="33"/>
      <c r="J78" s="33"/>
      <c r="K78" s="33"/>
      <c r="L78" s="33"/>
      <c r="M78" s="33"/>
      <c r="N78" s="33"/>
      <c r="O78" s="33"/>
      <c r="P78" s="33"/>
      <c r="Q78" s="33"/>
      <c r="R78" s="33"/>
      <c r="S78" s="33"/>
      <c r="T78" s="33"/>
      <c r="U78" s="33"/>
      <c r="V78" s="33"/>
      <c r="W78" s="33"/>
      <c r="X78" s="33"/>
    </row>
    <row r="79" spans="1:24" ht="18" x14ac:dyDescent="0.25">
      <c r="B79" s="475"/>
      <c r="C79" s="33"/>
      <c r="D79" s="33"/>
      <c r="E79" s="33"/>
      <c r="F79" s="33"/>
      <c r="G79" s="33"/>
      <c r="H79" s="33"/>
      <c r="I79" s="33"/>
      <c r="J79" s="33"/>
      <c r="K79" s="33"/>
      <c r="L79" s="33"/>
      <c r="M79" s="33"/>
      <c r="N79" s="33"/>
      <c r="O79" s="33"/>
      <c r="P79" s="33"/>
      <c r="Q79" s="33"/>
      <c r="R79" s="33"/>
      <c r="S79" s="33"/>
      <c r="T79" s="33"/>
      <c r="U79" s="33"/>
      <c r="V79" s="33"/>
      <c r="W79" s="33"/>
      <c r="X79" s="33"/>
    </row>
    <row r="80" spans="1:24" ht="18" x14ac:dyDescent="0.25">
      <c r="B80" s="475"/>
      <c r="C80" s="33"/>
      <c r="D80" s="33"/>
      <c r="E80" s="33"/>
      <c r="F80" s="33"/>
      <c r="G80" s="33"/>
      <c r="H80" s="33"/>
      <c r="I80" s="33"/>
      <c r="J80" s="33"/>
      <c r="K80" s="33"/>
      <c r="L80" s="33"/>
      <c r="M80" s="33"/>
      <c r="N80" s="33"/>
      <c r="O80" s="33"/>
      <c r="P80" s="33"/>
      <c r="Q80" s="33"/>
      <c r="R80" s="33"/>
      <c r="S80" s="33"/>
      <c r="T80" s="33"/>
      <c r="U80" s="33"/>
      <c r="V80" s="33"/>
      <c r="W80" s="33"/>
      <c r="X80" s="33"/>
    </row>
    <row r="81" spans="1:24" ht="18" x14ac:dyDescent="0.25">
      <c r="B81" s="475"/>
      <c r="C81" s="33"/>
      <c r="D81" s="33"/>
      <c r="E81" s="33"/>
      <c r="F81" s="33"/>
      <c r="G81" s="33"/>
      <c r="H81" s="33"/>
      <c r="I81" s="33"/>
      <c r="J81" s="33"/>
      <c r="K81" s="33"/>
      <c r="L81" s="33"/>
      <c r="M81" s="33"/>
      <c r="N81" s="33"/>
      <c r="O81" s="33"/>
      <c r="P81" s="33"/>
      <c r="Q81" s="33"/>
      <c r="R81" s="33"/>
      <c r="S81" s="33"/>
      <c r="T81" s="33"/>
      <c r="U81" s="33"/>
      <c r="V81" s="33"/>
      <c r="W81" s="33"/>
      <c r="X81" s="33"/>
    </row>
    <row r="82" spans="1:24" ht="18" x14ac:dyDescent="0.25">
      <c r="B82" s="475"/>
      <c r="C82" s="33"/>
      <c r="D82" s="33"/>
      <c r="E82" s="33"/>
      <c r="F82" s="33"/>
      <c r="G82" s="33"/>
      <c r="H82" s="33"/>
      <c r="I82" s="33"/>
      <c r="J82" s="33"/>
      <c r="K82" s="33"/>
      <c r="L82" s="33"/>
      <c r="M82" s="33"/>
      <c r="N82" s="33"/>
      <c r="O82" s="33"/>
      <c r="P82" s="33"/>
      <c r="Q82" s="33"/>
      <c r="R82" s="33"/>
      <c r="S82" s="33"/>
      <c r="T82" s="33"/>
      <c r="U82" s="33"/>
      <c r="V82" s="33"/>
      <c r="W82" s="33"/>
      <c r="X82" s="33"/>
    </row>
    <row r="83" spans="1:24" ht="18" x14ac:dyDescent="0.25">
      <c r="B83" s="475"/>
      <c r="C83" s="33"/>
      <c r="D83" s="33"/>
      <c r="E83" s="33"/>
      <c r="F83" s="33"/>
      <c r="G83" s="33"/>
      <c r="H83" s="33"/>
      <c r="I83" s="33"/>
      <c r="J83" s="33"/>
      <c r="K83" s="33"/>
      <c r="L83" s="33"/>
      <c r="M83" s="33"/>
      <c r="N83" s="33"/>
      <c r="O83" s="33"/>
      <c r="P83" s="33"/>
      <c r="Q83" s="33"/>
      <c r="R83" s="33"/>
      <c r="S83" s="33"/>
      <c r="T83" s="33"/>
      <c r="U83" s="33"/>
      <c r="V83" s="33"/>
      <c r="W83" s="33"/>
      <c r="X83" s="33"/>
    </row>
    <row r="84" spans="1:24" ht="18" x14ac:dyDescent="0.25">
      <c r="B84" s="475"/>
      <c r="C84" s="33"/>
      <c r="D84" s="33"/>
      <c r="E84" s="33"/>
      <c r="F84" s="33"/>
      <c r="G84" s="33"/>
      <c r="H84" s="33"/>
      <c r="I84" s="33"/>
      <c r="J84" s="33"/>
      <c r="K84" s="33"/>
      <c r="L84" s="33"/>
      <c r="M84" s="33"/>
      <c r="N84" s="33"/>
      <c r="O84" s="33"/>
      <c r="P84" s="33"/>
      <c r="Q84" s="33"/>
      <c r="R84" s="33"/>
      <c r="S84" s="33"/>
      <c r="T84" s="33"/>
      <c r="U84" s="33"/>
      <c r="V84" s="33"/>
      <c r="W84" s="33"/>
      <c r="X84" s="33"/>
    </row>
    <row r="85" spans="1:24" x14ac:dyDescent="0.2">
      <c r="B85" s="485"/>
      <c r="E85" s="33"/>
      <c r="F85" s="33"/>
      <c r="G85" s="33"/>
      <c r="H85" s="33"/>
      <c r="I85" s="33"/>
      <c r="J85" s="33"/>
      <c r="K85" s="33"/>
      <c r="L85" s="33"/>
      <c r="M85" s="33"/>
      <c r="N85" s="33"/>
      <c r="O85" s="33"/>
      <c r="P85" s="33"/>
      <c r="Q85" s="33"/>
      <c r="R85" s="33"/>
      <c r="S85" s="33"/>
      <c r="T85" s="33"/>
      <c r="U85" s="33"/>
      <c r="V85" s="33"/>
      <c r="W85" s="33"/>
      <c r="X85" s="33"/>
    </row>
    <row r="86" spans="1:24" x14ac:dyDescent="0.2">
      <c r="B86" s="485"/>
      <c r="E86" s="33"/>
      <c r="F86" s="33"/>
      <c r="G86" s="33"/>
      <c r="H86" s="33"/>
      <c r="I86" s="33"/>
      <c r="J86" s="33"/>
      <c r="K86" s="33"/>
      <c r="L86" s="33"/>
      <c r="M86" s="33"/>
      <c r="N86" s="33"/>
      <c r="O86" s="33"/>
      <c r="P86" s="33"/>
      <c r="Q86" s="33"/>
      <c r="R86" s="33"/>
      <c r="S86" s="33"/>
      <c r="T86" s="33"/>
      <c r="U86" s="33"/>
      <c r="V86" s="33"/>
      <c r="W86" s="33"/>
      <c r="X86" s="33"/>
    </row>
    <row r="87" spans="1:24" ht="15.75" thickBot="1" x14ac:dyDescent="0.25">
      <c r="B87" s="485"/>
      <c r="F87" s="33"/>
      <c r="G87" s="33"/>
      <c r="H87" s="33"/>
      <c r="I87" s="33"/>
    </row>
    <row r="88" spans="1:24" ht="15.75" thickBot="1" x14ac:dyDescent="0.25">
      <c r="A88" s="57" t="s">
        <v>50</v>
      </c>
      <c r="B88" s="485"/>
      <c r="G88" s="33"/>
    </row>
    <row r="89" spans="1:24" x14ac:dyDescent="0.2">
      <c r="A89" s="58" t="s">
        <v>60</v>
      </c>
      <c r="B89" s="485"/>
    </row>
    <row r="90" spans="1:24" x14ac:dyDescent="0.2">
      <c r="A90" s="59"/>
      <c r="B90" s="485"/>
    </row>
    <row r="91" spans="1:24" x14ac:dyDescent="0.2">
      <c r="A91" s="59" t="s">
        <v>63</v>
      </c>
      <c r="B91" s="485"/>
    </row>
    <row r="92" spans="1:24" x14ac:dyDescent="0.2">
      <c r="A92" s="59"/>
      <c r="B92" s="485"/>
    </row>
    <row r="93" spans="1:24" x14ac:dyDescent="0.2">
      <c r="A93" s="59" t="s">
        <v>66</v>
      </c>
      <c r="B93" s="485"/>
    </row>
    <row r="94" spans="1:24" x14ac:dyDescent="0.2">
      <c r="A94" s="59"/>
      <c r="B94" s="485"/>
    </row>
    <row r="95" spans="1:24" x14ac:dyDescent="0.2">
      <c r="A95" s="59" t="s">
        <v>69</v>
      </c>
      <c r="B95" s="485"/>
    </row>
    <row r="96" spans="1:24" x14ac:dyDescent="0.2">
      <c r="A96" s="59" t="s">
        <v>22</v>
      </c>
      <c r="B96" s="485"/>
    </row>
    <row r="97" spans="1:2" x14ac:dyDescent="0.2">
      <c r="A97" s="59" t="s">
        <v>72</v>
      </c>
      <c r="B97" s="485"/>
    </row>
    <row r="98" spans="1:2" x14ac:dyDescent="0.2">
      <c r="B98" s="485"/>
    </row>
    <row r="99" spans="1:2" x14ac:dyDescent="0.2">
      <c r="B99" s="485"/>
    </row>
    <row r="100" spans="1:2" x14ac:dyDescent="0.2">
      <c r="B100" s="485"/>
    </row>
    <row r="101" spans="1:2" x14ac:dyDescent="0.2">
      <c r="B101" s="485"/>
    </row>
    <row r="102" spans="1:2" x14ac:dyDescent="0.2">
      <c r="B102" s="485"/>
    </row>
  </sheetData>
  <mergeCells count="2">
    <mergeCell ref="A30:A31"/>
    <mergeCell ref="A9:A10"/>
  </mergeCells>
  <printOptions horizontalCentered="1"/>
  <pageMargins left="0.59" right="0.46" top="1" bottom="1" header="0.5" footer="0.25"/>
  <pageSetup scale="82" orientation="portrait" r:id="rId1"/>
  <headerFooter alignWithMargins="0">
    <oddHeader>&amp;R&amp;14Exhibit A</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768ABF-2B1B-4F00-A45D-88B2855C30C7}">
  <sheetPr>
    <pageSetUpPr fitToPage="1"/>
  </sheetPr>
  <dimension ref="A1:AM100"/>
  <sheetViews>
    <sheetView zoomScale="90" zoomScaleNormal="90" workbookViewId="0">
      <selection activeCell="H28" sqref="H28"/>
    </sheetView>
  </sheetViews>
  <sheetFormatPr defaultColWidth="8.88671875" defaultRowHeight="15" x14ac:dyDescent="0.2"/>
  <cols>
    <col min="1" max="1" width="46.33203125" style="74" customWidth="1"/>
    <col min="2" max="2" width="16.77734375" style="74" customWidth="1"/>
    <col min="3" max="3" width="20.77734375" style="74" customWidth="1"/>
    <col min="4" max="4" width="16.77734375" style="74" customWidth="1"/>
    <col min="5" max="6" width="13.77734375" style="74" customWidth="1"/>
    <col min="7" max="7" width="14.109375" style="74" customWidth="1"/>
    <col min="8" max="8" width="13.88671875" style="74" customWidth="1"/>
    <col min="9" max="9" width="16.33203125" style="74" customWidth="1"/>
    <col min="10" max="10" width="14.77734375" style="74" customWidth="1"/>
    <col min="11" max="24" width="9.6640625" style="74" customWidth="1"/>
    <col min="25" max="16384" width="8.88671875" style="74"/>
  </cols>
  <sheetData>
    <row r="1" spans="1:39" s="10" customFormat="1" ht="30" customHeight="1" x14ac:dyDescent="0.4">
      <c r="A1" s="338" t="s">
        <v>0</v>
      </c>
      <c r="B1" s="5"/>
      <c r="C1" s="342"/>
      <c r="D1" s="343"/>
      <c r="E1" s="9"/>
      <c r="F1" s="9"/>
      <c r="G1" s="9"/>
      <c r="H1" s="9"/>
      <c r="I1" s="9"/>
      <c r="J1" s="9"/>
      <c r="K1" s="9"/>
      <c r="L1" s="9"/>
      <c r="M1" s="9"/>
      <c r="N1" s="9"/>
      <c r="O1" s="9"/>
      <c r="P1" s="9"/>
      <c r="Q1" s="9"/>
      <c r="R1" s="9"/>
      <c r="S1" s="9"/>
      <c r="T1" s="9"/>
      <c r="U1" s="9"/>
      <c r="V1" s="9"/>
      <c r="W1" s="9"/>
      <c r="X1" s="9"/>
    </row>
    <row r="2" spans="1:39" s="16" customFormat="1" ht="24.95" customHeight="1" x14ac:dyDescent="0.35">
      <c r="A2" s="344" t="s">
        <v>143</v>
      </c>
      <c r="B2" s="344"/>
      <c r="C2" s="346"/>
      <c r="D2" s="346"/>
      <c r="E2" s="15"/>
      <c r="F2" s="15"/>
      <c r="G2" s="15"/>
      <c r="H2" s="15"/>
      <c r="I2" s="15"/>
      <c r="J2" s="15"/>
      <c r="K2" s="15"/>
      <c r="L2" s="15"/>
      <c r="M2" s="15"/>
      <c r="N2" s="15"/>
      <c r="O2" s="15"/>
      <c r="P2" s="15"/>
      <c r="Q2" s="15"/>
      <c r="R2" s="15"/>
      <c r="S2" s="15"/>
      <c r="T2" s="15"/>
      <c r="U2" s="15"/>
      <c r="V2" s="15"/>
      <c r="W2" s="15"/>
      <c r="X2" s="15"/>
    </row>
    <row r="3" spans="1:39" s="23" customFormat="1" ht="14.25" customHeight="1" x14ac:dyDescent="0.4">
      <c r="A3" s="347"/>
      <c r="B3" s="350"/>
      <c r="C3" s="349"/>
      <c r="D3" s="349"/>
      <c r="E3" s="22"/>
      <c r="F3" s="22"/>
      <c r="G3" s="22"/>
      <c r="H3" s="22"/>
      <c r="I3" s="22"/>
      <c r="J3" s="22"/>
      <c r="K3" s="22"/>
      <c r="L3" s="22"/>
      <c r="M3" s="22"/>
      <c r="N3" s="22"/>
      <c r="O3" s="22"/>
      <c r="P3" s="22"/>
      <c r="Q3" s="22"/>
      <c r="R3" s="22"/>
      <c r="S3" s="22"/>
      <c r="T3" s="22"/>
      <c r="U3" s="22"/>
      <c r="V3" s="22"/>
      <c r="W3" s="22"/>
      <c r="X3" s="22"/>
    </row>
    <row r="4" spans="1:39" s="29" customFormat="1" ht="20.25" customHeight="1" x14ac:dyDescent="0.3">
      <c r="A4" s="354" t="s">
        <v>217</v>
      </c>
      <c r="B4" s="301"/>
      <c r="C4" s="356"/>
      <c r="D4" s="356"/>
      <c r="E4" s="330"/>
      <c r="F4" s="28"/>
      <c r="G4" s="28"/>
      <c r="H4" s="28"/>
      <c r="I4" s="28"/>
      <c r="J4" s="28"/>
      <c r="K4" s="28"/>
      <c r="L4" s="28"/>
      <c r="M4" s="28"/>
      <c r="N4" s="28"/>
      <c r="O4" s="28"/>
      <c r="P4" s="28"/>
      <c r="Q4" s="28"/>
      <c r="R4" s="28"/>
      <c r="S4" s="28"/>
      <c r="T4" s="28"/>
      <c r="U4" s="28"/>
      <c r="V4" s="28"/>
      <c r="W4" s="28"/>
      <c r="X4" s="28"/>
    </row>
    <row r="5" spans="1:39" s="29" customFormat="1" ht="20.25" customHeight="1" x14ac:dyDescent="0.3">
      <c r="A5" s="354" t="s">
        <v>76</v>
      </c>
      <c r="B5" s="301"/>
      <c r="C5" s="356"/>
      <c r="D5" s="356"/>
      <c r="E5" s="330"/>
      <c r="F5" s="28"/>
      <c r="G5" s="28"/>
      <c r="H5" s="28"/>
      <c r="I5" s="28"/>
      <c r="J5" s="28"/>
      <c r="K5" s="28"/>
      <c r="L5" s="28"/>
      <c r="M5" s="28"/>
      <c r="N5" s="28"/>
      <c r="O5" s="28"/>
      <c r="P5" s="28"/>
      <c r="Q5" s="28"/>
      <c r="R5" s="28"/>
      <c r="S5" s="28"/>
      <c r="T5" s="28"/>
      <c r="U5" s="28"/>
      <c r="V5" s="28"/>
      <c r="W5" s="28"/>
      <c r="X5" s="28"/>
    </row>
    <row r="6" spans="1:39" ht="18" x14ac:dyDescent="0.25">
      <c r="A6" s="301"/>
      <c r="B6" s="301"/>
      <c r="C6" s="518"/>
      <c r="D6" s="518"/>
      <c r="E6" s="248"/>
      <c r="F6" s="33"/>
      <c r="G6" s="33"/>
      <c r="H6" s="33"/>
      <c r="I6" s="33"/>
      <c r="J6" s="33"/>
      <c r="K6" s="33"/>
      <c r="L6" s="33"/>
      <c r="M6" s="33"/>
      <c r="N6" s="33"/>
      <c r="O6" s="33"/>
      <c r="P6" s="33"/>
      <c r="Q6" s="33"/>
      <c r="R6" s="33"/>
      <c r="S6" s="33"/>
      <c r="T6" s="33"/>
      <c r="U6" s="33"/>
      <c r="V6" s="33"/>
      <c r="W6" s="33"/>
      <c r="X6" s="33"/>
    </row>
    <row r="7" spans="1:39" s="36" customFormat="1" ht="20.25" customHeight="1" x14ac:dyDescent="0.3">
      <c r="A7" s="357" t="s">
        <v>8</v>
      </c>
      <c r="B7" s="301"/>
      <c r="C7" s="356"/>
      <c r="D7" s="356"/>
      <c r="E7" s="330"/>
      <c r="F7" s="330"/>
      <c r="G7" s="28"/>
      <c r="H7" s="28"/>
      <c r="I7" s="28"/>
      <c r="J7" s="28"/>
      <c r="K7" s="28"/>
      <c r="L7" s="28"/>
      <c r="M7" s="28"/>
      <c r="N7" s="28"/>
      <c r="O7" s="28"/>
      <c r="P7" s="28"/>
      <c r="Q7" s="28"/>
      <c r="R7" s="28"/>
      <c r="S7" s="35"/>
      <c r="T7" s="35"/>
      <c r="U7" s="35"/>
      <c r="V7" s="35"/>
      <c r="W7" s="35"/>
      <c r="X7" s="35"/>
    </row>
    <row r="8" spans="1:39" ht="18.75" thickBot="1" x14ac:dyDescent="0.3">
      <c r="A8" s="303"/>
      <c r="B8" s="299"/>
      <c r="C8" s="300"/>
      <c r="D8" s="300"/>
      <c r="E8" s="248"/>
      <c r="F8" s="248"/>
      <c r="G8" s="33"/>
      <c r="H8" s="33"/>
      <c r="I8" s="33"/>
      <c r="J8" s="33"/>
      <c r="K8" s="33"/>
      <c r="L8" s="33"/>
      <c r="M8" s="33"/>
      <c r="N8" s="33"/>
      <c r="O8" s="33"/>
      <c r="P8" s="33"/>
      <c r="Q8" s="33"/>
      <c r="R8" s="33"/>
      <c r="S8" s="33"/>
      <c r="T8" s="33"/>
      <c r="U8" s="33"/>
      <c r="V8" s="33"/>
      <c r="W8" s="33"/>
      <c r="X8" s="33"/>
    </row>
    <row r="9" spans="1:39" s="47" customFormat="1" ht="18.95" customHeight="1" x14ac:dyDescent="0.25">
      <c r="A9" s="636" t="s">
        <v>202</v>
      </c>
      <c r="B9" s="620" t="s">
        <v>218</v>
      </c>
      <c r="C9" s="618" t="s">
        <v>9</v>
      </c>
      <c r="D9" s="620" t="s">
        <v>16</v>
      </c>
      <c r="E9" s="330"/>
      <c r="F9" s="28"/>
      <c r="G9" s="28"/>
      <c r="H9" s="28"/>
      <c r="I9" s="28"/>
      <c r="J9" s="28"/>
      <c r="K9" s="28"/>
      <c r="L9" s="28"/>
      <c r="M9" s="28"/>
      <c r="N9" s="28"/>
      <c r="O9" s="28"/>
      <c r="P9" s="28"/>
      <c r="Q9" s="28"/>
      <c r="R9" s="28"/>
      <c r="S9" s="28"/>
      <c r="T9" s="28"/>
      <c r="U9" s="28"/>
      <c r="V9" s="28"/>
      <c r="W9" s="28"/>
      <c r="X9" s="28"/>
    </row>
    <row r="10" spans="1:39" s="47" customFormat="1" ht="18.95" customHeight="1" thickBot="1" x14ac:dyDescent="0.3">
      <c r="A10" s="637"/>
      <c r="B10" s="619" t="s">
        <v>9</v>
      </c>
      <c r="C10" s="619" t="s">
        <v>190</v>
      </c>
      <c r="D10" s="619" t="s">
        <v>9</v>
      </c>
      <c r="E10" s="336"/>
      <c r="F10" s="55"/>
      <c r="G10" s="55"/>
      <c r="H10" s="55"/>
      <c r="I10" s="55"/>
      <c r="J10" s="55"/>
      <c r="K10" s="55"/>
      <c r="L10" s="55"/>
      <c r="M10" s="55"/>
      <c r="N10" s="55"/>
      <c r="O10" s="55"/>
      <c r="P10" s="55"/>
      <c r="Q10" s="55"/>
      <c r="R10" s="55"/>
      <c r="S10" s="55"/>
      <c r="T10" s="55"/>
      <c r="U10" s="55"/>
      <c r="V10" s="55"/>
      <c r="W10" s="55"/>
      <c r="X10" s="55"/>
      <c r="Y10" s="56"/>
      <c r="Z10" s="56"/>
      <c r="AA10" s="56"/>
      <c r="AB10" s="56"/>
      <c r="AC10" s="56"/>
      <c r="AD10" s="56"/>
      <c r="AE10" s="56"/>
      <c r="AF10" s="56"/>
      <c r="AG10" s="56"/>
      <c r="AH10" s="56"/>
      <c r="AI10" s="56"/>
      <c r="AJ10" s="56"/>
      <c r="AK10" s="56"/>
      <c r="AL10" s="56"/>
      <c r="AM10" s="56"/>
    </row>
    <row r="11" spans="1:39" ht="18" hidden="1" x14ac:dyDescent="0.25">
      <c r="A11" s="327"/>
      <c r="B11" s="64"/>
      <c r="C11" s="302"/>
      <c r="D11" s="302"/>
      <c r="E11" s="248"/>
      <c r="F11" s="33"/>
      <c r="G11" s="33"/>
      <c r="H11" s="33"/>
      <c r="I11" s="33"/>
      <c r="J11" s="33"/>
      <c r="K11" s="33"/>
      <c r="L11" s="33"/>
      <c r="M11" s="33"/>
      <c r="N11" s="33"/>
      <c r="O11" s="33"/>
      <c r="P11" s="33"/>
      <c r="Q11" s="33"/>
      <c r="R11" s="33"/>
      <c r="S11" s="33"/>
      <c r="T11" s="33"/>
      <c r="U11" s="33"/>
      <c r="V11" s="33"/>
      <c r="W11" s="33"/>
      <c r="X11" s="33"/>
    </row>
    <row r="12" spans="1:39" hidden="1" x14ac:dyDescent="0.2">
      <c r="A12" s="379" t="s">
        <v>187</v>
      </c>
      <c r="B12" s="389">
        <v>37954853</v>
      </c>
      <c r="C12" s="390">
        <v>4227453</v>
      </c>
      <c r="D12" s="389">
        <f t="shared" ref="D12:D17" si="0">+B12+C12</f>
        <v>42182306</v>
      </c>
      <c r="E12" s="248"/>
      <c r="F12" s="308"/>
      <c r="G12" s="33"/>
      <c r="H12" s="33"/>
      <c r="I12" s="33"/>
      <c r="J12" s="33"/>
      <c r="K12" s="33"/>
      <c r="L12" s="33"/>
      <c r="M12" s="33"/>
      <c r="N12" s="33"/>
      <c r="O12" s="33"/>
      <c r="P12" s="33"/>
      <c r="Q12" s="33"/>
      <c r="R12" s="33"/>
      <c r="S12" s="33"/>
      <c r="T12" s="33"/>
      <c r="U12" s="33"/>
      <c r="V12" s="33"/>
      <c r="W12" s="33"/>
      <c r="X12" s="33"/>
    </row>
    <row r="13" spans="1:39" hidden="1" x14ac:dyDescent="0.2">
      <c r="A13" s="392" t="s">
        <v>168</v>
      </c>
      <c r="B13" s="393">
        <v>524004</v>
      </c>
      <c r="C13" s="394">
        <v>0</v>
      </c>
      <c r="D13" s="393">
        <f t="shared" si="0"/>
        <v>524004</v>
      </c>
      <c r="E13" s="248"/>
      <c r="F13" s="308"/>
      <c r="G13" s="33"/>
      <c r="H13" s="33"/>
      <c r="I13" s="33"/>
      <c r="J13" s="33"/>
      <c r="K13" s="33"/>
      <c r="L13" s="33"/>
      <c r="M13" s="33"/>
      <c r="N13" s="33"/>
      <c r="O13" s="33"/>
      <c r="P13" s="33"/>
      <c r="Q13" s="33"/>
      <c r="R13" s="33"/>
      <c r="S13" s="33"/>
      <c r="T13" s="33"/>
      <c r="U13" s="33"/>
      <c r="V13" s="33"/>
      <c r="W13" s="33"/>
      <c r="X13" s="33"/>
    </row>
    <row r="14" spans="1:39" hidden="1" x14ac:dyDescent="0.2">
      <c r="A14" s="392" t="s">
        <v>169</v>
      </c>
      <c r="B14" s="393">
        <v>2155023</v>
      </c>
      <c r="C14" s="394">
        <v>0</v>
      </c>
      <c r="D14" s="393">
        <f t="shared" si="0"/>
        <v>2155023</v>
      </c>
      <c r="E14" s="248"/>
      <c r="F14" s="308"/>
      <c r="G14" s="33"/>
      <c r="H14" s="33"/>
      <c r="I14" s="33"/>
      <c r="J14" s="33"/>
      <c r="K14" s="33"/>
      <c r="L14" s="33"/>
      <c r="M14" s="33"/>
      <c r="N14" s="33"/>
      <c r="O14" s="33"/>
      <c r="P14" s="33"/>
      <c r="Q14" s="33"/>
      <c r="R14" s="33"/>
      <c r="S14" s="33"/>
      <c r="T14" s="33"/>
      <c r="U14" s="33"/>
      <c r="V14" s="33"/>
      <c r="W14" s="33"/>
      <c r="X14" s="33"/>
    </row>
    <row r="15" spans="1:39" hidden="1" x14ac:dyDescent="0.2">
      <c r="A15" s="392" t="s">
        <v>170</v>
      </c>
      <c r="B15" s="393">
        <v>6159713</v>
      </c>
      <c r="C15" s="394">
        <v>0</v>
      </c>
      <c r="D15" s="393">
        <f t="shared" si="0"/>
        <v>6159713</v>
      </c>
      <c r="E15" s="248"/>
      <c r="F15" s="308"/>
      <c r="G15" s="33"/>
      <c r="H15" s="33"/>
      <c r="I15" s="33"/>
      <c r="J15" s="33"/>
      <c r="K15" s="33"/>
      <c r="L15" s="33"/>
      <c r="M15" s="33"/>
      <c r="N15" s="33"/>
      <c r="O15" s="33"/>
      <c r="P15" s="33"/>
      <c r="Q15" s="33"/>
      <c r="R15" s="33"/>
      <c r="S15" s="33"/>
      <c r="T15" s="33"/>
      <c r="U15" s="33"/>
      <c r="V15" s="33"/>
      <c r="W15" s="33"/>
      <c r="X15" s="33"/>
    </row>
    <row r="16" spans="1:39" hidden="1" x14ac:dyDescent="0.2">
      <c r="A16" s="392" t="s">
        <v>200</v>
      </c>
      <c r="B16" s="393">
        <v>2830159</v>
      </c>
      <c r="C16" s="394">
        <v>0</v>
      </c>
      <c r="D16" s="393">
        <f t="shared" si="0"/>
        <v>2830159</v>
      </c>
      <c r="E16" s="248"/>
      <c r="F16" s="308"/>
      <c r="G16" s="33"/>
      <c r="H16" s="33"/>
      <c r="I16" s="33"/>
      <c r="J16" s="33"/>
      <c r="K16" s="33"/>
      <c r="L16" s="33"/>
      <c r="M16" s="33"/>
      <c r="N16" s="33"/>
      <c r="O16" s="33"/>
      <c r="P16" s="33"/>
      <c r="Q16" s="33"/>
      <c r="R16" s="33"/>
      <c r="S16" s="33"/>
      <c r="T16" s="33"/>
      <c r="U16" s="33"/>
      <c r="V16" s="33"/>
      <c r="W16" s="33"/>
      <c r="X16" s="33"/>
    </row>
    <row r="17" spans="1:24" hidden="1" x14ac:dyDescent="0.2">
      <c r="A17" s="392" t="s">
        <v>199</v>
      </c>
      <c r="B17" s="393">
        <v>45000</v>
      </c>
      <c r="C17" s="394">
        <v>0</v>
      </c>
      <c r="D17" s="393">
        <f t="shared" si="0"/>
        <v>45000</v>
      </c>
      <c r="E17" s="248"/>
      <c r="F17" s="308"/>
      <c r="G17" s="33"/>
      <c r="H17" s="33"/>
      <c r="I17" s="33"/>
      <c r="J17" s="33"/>
      <c r="K17" s="33"/>
      <c r="L17" s="33"/>
      <c r="M17" s="33"/>
      <c r="N17" s="33"/>
      <c r="O17" s="33"/>
      <c r="P17" s="33"/>
      <c r="Q17" s="33"/>
      <c r="R17" s="33"/>
      <c r="S17" s="33"/>
      <c r="T17" s="33"/>
      <c r="U17" s="33"/>
      <c r="V17" s="33"/>
      <c r="W17" s="33"/>
      <c r="X17" s="33"/>
    </row>
    <row r="18" spans="1:24" hidden="1" x14ac:dyDescent="0.2">
      <c r="A18" s="395" t="s">
        <v>171</v>
      </c>
      <c r="B18" s="396">
        <f>SUBTOTAL(9,B13:B17)</f>
        <v>11713899</v>
      </c>
      <c r="C18" s="396">
        <f>SUBTOTAL(9,C13:C15)</f>
        <v>0</v>
      </c>
      <c r="D18" s="396">
        <f>SUBTOTAL(9,D13:D15)</f>
        <v>8838740</v>
      </c>
      <c r="E18" s="248"/>
      <c r="F18" s="308"/>
      <c r="G18" s="33"/>
      <c r="H18" s="33"/>
      <c r="I18" s="33"/>
      <c r="J18" s="33"/>
      <c r="K18" s="33"/>
      <c r="L18" s="33"/>
      <c r="M18" s="33"/>
      <c r="N18" s="33"/>
      <c r="O18" s="33"/>
      <c r="P18" s="33"/>
      <c r="Q18" s="33"/>
      <c r="R18" s="33"/>
      <c r="S18" s="33"/>
      <c r="T18" s="33"/>
      <c r="U18" s="33"/>
      <c r="V18" s="33"/>
      <c r="W18" s="33"/>
      <c r="X18" s="33"/>
    </row>
    <row r="19" spans="1:24" ht="15" customHeight="1" x14ac:dyDescent="0.2">
      <c r="A19" s="395" t="s">
        <v>219</v>
      </c>
      <c r="B19" s="499">
        <v>100000</v>
      </c>
      <c r="C19" s="500">
        <v>0</v>
      </c>
      <c r="D19" s="500">
        <f t="shared" ref="D19:D30" si="1">+B19+C19</f>
        <v>100000</v>
      </c>
      <c r="E19" s="248"/>
      <c r="F19" s="308"/>
      <c r="G19" s="33"/>
      <c r="H19" s="33"/>
      <c r="I19" s="33"/>
      <c r="J19" s="33"/>
      <c r="K19" s="33"/>
      <c r="L19" s="33"/>
      <c r="M19" s="33"/>
      <c r="N19" s="33"/>
      <c r="O19" s="33"/>
      <c r="P19" s="33"/>
      <c r="Q19" s="33"/>
      <c r="R19" s="33"/>
      <c r="S19" s="33"/>
      <c r="T19" s="33"/>
      <c r="U19" s="33"/>
      <c r="V19" s="33"/>
      <c r="W19" s="33"/>
      <c r="X19" s="33"/>
    </row>
    <row r="20" spans="1:24" ht="15" customHeight="1" x14ac:dyDescent="0.2">
      <c r="A20" s="395" t="s">
        <v>144</v>
      </c>
      <c r="B20" s="396">
        <v>300000</v>
      </c>
      <c r="C20" s="434">
        <v>0</v>
      </c>
      <c r="D20" s="396">
        <f t="shared" si="1"/>
        <v>300000</v>
      </c>
      <c r="E20" s="248"/>
      <c r="F20" s="308"/>
      <c r="G20" s="33"/>
      <c r="H20" s="33"/>
      <c r="I20" s="33"/>
      <c r="J20" s="33"/>
      <c r="K20" s="33"/>
      <c r="L20" s="33"/>
      <c r="M20" s="33"/>
      <c r="N20" s="33"/>
      <c r="O20" s="33"/>
      <c r="P20" s="33"/>
      <c r="Q20" s="33"/>
      <c r="R20" s="33"/>
      <c r="S20" s="33"/>
      <c r="T20" s="33"/>
      <c r="U20" s="33"/>
      <c r="V20" s="33"/>
      <c r="W20" s="33"/>
      <c r="X20" s="33"/>
    </row>
    <row r="21" spans="1:24" ht="15" customHeight="1" x14ac:dyDescent="0.2">
      <c r="A21" s="395" t="s">
        <v>145</v>
      </c>
      <c r="B21" s="396">
        <v>4000</v>
      </c>
      <c r="C21" s="434">
        <v>0</v>
      </c>
      <c r="D21" s="396">
        <f t="shared" si="1"/>
        <v>4000</v>
      </c>
      <c r="E21" s="248"/>
      <c r="F21" s="308"/>
      <c r="G21" s="33"/>
      <c r="H21" s="33"/>
      <c r="I21" s="33"/>
      <c r="J21" s="33"/>
      <c r="K21" s="33"/>
      <c r="L21" s="33"/>
      <c r="M21" s="33"/>
      <c r="N21" s="33"/>
      <c r="O21" s="33"/>
      <c r="P21" s="33"/>
      <c r="Q21" s="33"/>
      <c r="R21" s="33"/>
      <c r="S21" s="33"/>
      <c r="T21" s="33"/>
      <c r="U21" s="33"/>
      <c r="V21" s="33"/>
      <c r="W21" s="33"/>
      <c r="X21" s="33"/>
    </row>
    <row r="22" spans="1:24" ht="15" customHeight="1" x14ac:dyDescent="0.2">
      <c r="A22" s="395" t="s">
        <v>149</v>
      </c>
      <c r="B22" s="396">
        <v>135000</v>
      </c>
      <c r="C22" s="434">
        <v>0</v>
      </c>
      <c r="D22" s="396">
        <f t="shared" si="1"/>
        <v>135000</v>
      </c>
      <c r="E22" s="248"/>
      <c r="F22" s="308"/>
      <c r="G22" s="33"/>
      <c r="H22" s="33"/>
      <c r="I22" s="33"/>
      <c r="J22" s="33"/>
      <c r="K22" s="33"/>
      <c r="L22" s="33"/>
      <c r="M22" s="33"/>
      <c r="N22" s="33"/>
      <c r="O22" s="33"/>
      <c r="P22" s="33"/>
      <c r="Q22" s="33"/>
      <c r="R22" s="33"/>
      <c r="S22" s="33"/>
      <c r="T22" s="33"/>
      <c r="U22" s="33"/>
      <c r="V22" s="33"/>
      <c r="W22" s="33"/>
      <c r="X22" s="33"/>
    </row>
    <row r="23" spans="1:24" ht="15" customHeight="1" x14ac:dyDescent="0.2">
      <c r="A23" s="395" t="s">
        <v>192</v>
      </c>
      <c r="B23" s="396">
        <v>364475</v>
      </c>
      <c r="C23" s="434">
        <v>0</v>
      </c>
      <c r="D23" s="396">
        <f t="shared" si="1"/>
        <v>364475</v>
      </c>
      <c r="E23" s="248"/>
      <c r="F23" s="308"/>
      <c r="G23" s="33"/>
      <c r="H23" s="33"/>
      <c r="I23" s="33"/>
      <c r="J23" s="33"/>
      <c r="K23" s="33"/>
      <c r="L23" s="33"/>
      <c r="M23" s="33"/>
      <c r="N23" s="33"/>
      <c r="O23" s="33"/>
      <c r="P23" s="33"/>
      <c r="Q23" s="33"/>
      <c r="R23" s="33"/>
      <c r="S23" s="33"/>
      <c r="T23" s="33"/>
      <c r="U23" s="33"/>
      <c r="V23" s="33"/>
      <c r="W23" s="33"/>
      <c r="X23" s="33"/>
    </row>
    <row r="24" spans="1:24" ht="15" customHeight="1" x14ac:dyDescent="0.2">
      <c r="A24" s="395" t="s">
        <v>220</v>
      </c>
      <c r="B24" s="396">
        <v>32290</v>
      </c>
      <c r="C24" s="434">
        <v>0</v>
      </c>
      <c r="D24" s="396">
        <f t="shared" si="1"/>
        <v>32290</v>
      </c>
      <c r="E24" s="248"/>
      <c r="F24" s="308"/>
      <c r="G24" s="33"/>
      <c r="H24" s="33"/>
      <c r="I24" s="33"/>
      <c r="J24" s="33"/>
      <c r="K24" s="33"/>
      <c r="L24" s="33"/>
      <c r="M24" s="33"/>
      <c r="N24" s="33"/>
      <c r="O24" s="33"/>
      <c r="P24" s="33"/>
      <c r="Q24" s="33"/>
      <c r="R24" s="33"/>
      <c r="S24" s="33"/>
      <c r="T24" s="33"/>
      <c r="U24" s="33"/>
      <c r="V24" s="33"/>
      <c r="W24" s="33"/>
      <c r="X24" s="33"/>
    </row>
    <row r="25" spans="1:24" ht="15" customHeight="1" x14ac:dyDescent="0.2">
      <c r="A25" s="395" t="s">
        <v>189</v>
      </c>
      <c r="B25" s="396">
        <v>472837</v>
      </c>
      <c r="C25" s="434">
        <v>0</v>
      </c>
      <c r="D25" s="396">
        <f t="shared" si="1"/>
        <v>472837</v>
      </c>
      <c r="E25" s="248"/>
      <c r="F25" s="308"/>
      <c r="G25" s="33"/>
      <c r="H25" s="33"/>
      <c r="I25" s="33"/>
      <c r="J25" s="33"/>
      <c r="K25" s="33"/>
      <c r="L25" s="33"/>
      <c r="M25" s="33"/>
      <c r="N25" s="33"/>
      <c r="O25" s="33"/>
      <c r="P25" s="33"/>
      <c r="Q25" s="33"/>
      <c r="R25" s="33"/>
      <c r="S25" s="33"/>
      <c r="T25" s="33"/>
      <c r="U25" s="33"/>
      <c r="V25" s="33"/>
      <c r="W25" s="33"/>
      <c r="X25" s="33"/>
    </row>
    <row r="26" spans="1:24" ht="15" customHeight="1" x14ac:dyDescent="0.25">
      <c r="A26" s="395" t="s">
        <v>148</v>
      </c>
      <c r="B26" s="396">
        <v>80000</v>
      </c>
      <c r="C26" s="434">
        <v>0</v>
      </c>
      <c r="D26" s="396">
        <f t="shared" si="1"/>
        <v>80000</v>
      </c>
      <c r="E26" s="330"/>
      <c r="F26" s="308"/>
      <c r="G26" s="33"/>
      <c r="H26" s="33"/>
      <c r="I26" s="33"/>
      <c r="J26" s="33"/>
      <c r="K26" s="33"/>
      <c r="L26" s="33"/>
      <c r="M26" s="33"/>
      <c r="N26" s="33"/>
      <c r="O26" s="33"/>
      <c r="P26" s="33"/>
      <c r="Q26" s="33"/>
      <c r="R26" s="33"/>
      <c r="S26" s="33"/>
      <c r="T26" s="33"/>
      <c r="U26" s="33"/>
      <c r="V26" s="33"/>
      <c r="W26" s="33"/>
      <c r="X26" s="33"/>
    </row>
    <row r="27" spans="1:24" ht="15" customHeight="1" x14ac:dyDescent="0.2">
      <c r="A27" s="395" t="s">
        <v>191</v>
      </c>
      <c r="B27" s="396">
        <v>169252</v>
      </c>
      <c r="C27" s="434">
        <v>0</v>
      </c>
      <c r="D27" s="396">
        <f t="shared" si="1"/>
        <v>169252</v>
      </c>
      <c r="E27" s="248"/>
      <c r="F27" s="308"/>
      <c r="G27" s="33"/>
      <c r="H27" s="33"/>
      <c r="I27" s="33"/>
      <c r="J27" s="33"/>
      <c r="K27" s="33"/>
      <c r="L27" s="33"/>
      <c r="M27" s="33"/>
      <c r="N27" s="33"/>
      <c r="O27" s="33"/>
      <c r="P27" s="33"/>
      <c r="Q27" s="33"/>
      <c r="R27" s="33"/>
      <c r="S27" s="33"/>
      <c r="T27" s="33"/>
      <c r="U27" s="33"/>
      <c r="V27" s="33"/>
      <c r="W27" s="33"/>
      <c r="X27" s="33"/>
    </row>
    <row r="28" spans="1:24" ht="15" customHeight="1" x14ac:dyDescent="0.2">
      <c r="A28" s="395" t="s">
        <v>155</v>
      </c>
      <c r="B28" s="396">
        <v>1656218</v>
      </c>
      <c r="C28" s="434">
        <v>0</v>
      </c>
      <c r="D28" s="396">
        <f t="shared" si="1"/>
        <v>1656218</v>
      </c>
      <c r="E28" s="248"/>
      <c r="F28" s="308"/>
      <c r="G28" s="33"/>
      <c r="H28" s="33"/>
      <c r="I28" s="33"/>
      <c r="J28" s="33"/>
      <c r="K28" s="33"/>
      <c r="L28" s="33"/>
      <c r="M28" s="33"/>
      <c r="N28" s="33"/>
      <c r="O28" s="33"/>
      <c r="P28" s="33"/>
      <c r="Q28" s="33"/>
      <c r="R28" s="33"/>
      <c r="S28" s="33"/>
      <c r="T28" s="33"/>
      <c r="U28" s="33"/>
      <c r="V28" s="33"/>
      <c r="W28" s="33"/>
      <c r="X28" s="33"/>
    </row>
    <row r="29" spans="1:24" ht="15" customHeight="1" x14ac:dyDescent="0.2">
      <c r="A29" s="395" t="s">
        <v>147</v>
      </c>
      <c r="B29" s="396">
        <v>65000</v>
      </c>
      <c r="C29" s="434">
        <v>0</v>
      </c>
      <c r="D29" s="396">
        <f t="shared" si="1"/>
        <v>65000</v>
      </c>
      <c r="E29" s="248"/>
      <c r="F29" s="308"/>
      <c r="G29" s="84"/>
      <c r="H29" s="84"/>
      <c r="I29" s="84"/>
      <c r="J29" s="84"/>
      <c r="K29" s="85"/>
      <c r="L29" s="84"/>
      <c r="M29" s="33"/>
      <c r="N29" s="33"/>
      <c r="O29" s="33"/>
      <c r="P29" s="33"/>
      <c r="Q29" s="33"/>
      <c r="R29" s="33"/>
      <c r="S29" s="33"/>
      <c r="T29" s="33"/>
      <c r="U29" s="33"/>
      <c r="V29" s="33"/>
      <c r="W29" s="33"/>
      <c r="X29" s="33"/>
    </row>
    <row r="30" spans="1:24" ht="15" customHeight="1" thickBot="1" x14ac:dyDescent="0.25">
      <c r="A30" s="395" t="s">
        <v>221</v>
      </c>
      <c r="B30" s="396">
        <v>140179</v>
      </c>
      <c r="C30" s="434">
        <v>100000</v>
      </c>
      <c r="D30" s="396">
        <f t="shared" si="1"/>
        <v>240179</v>
      </c>
      <c r="F30" s="308"/>
      <c r="G30" s="33"/>
      <c r="H30" s="33"/>
      <c r="I30" s="33"/>
      <c r="J30" s="33"/>
      <c r="K30" s="33"/>
      <c r="L30" s="33"/>
      <c r="M30" s="33"/>
      <c r="N30" s="33"/>
      <c r="O30" s="33"/>
      <c r="P30" s="33"/>
      <c r="Q30" s="33"/>
      <c r="R30" s="33"/>
      <c r="S30" s="33"/>
      <c r="T30" s="33"/>
      <c r="U30" s="33"/>
      <c r="V30" s="33"/>
      <c r="W30" s="33"/>
      <c r="X30" s="33"/>
    </row>
    <row r="31" spans="1:24" s="47" customFormat="1" ht="19.5" customHeight="1" thickBot="1" x14ac:dyDescent="0.3">
      <c r="A31" s="621" t="s">
        <v>203</v>
      </c>
      <c r="B31" s="622">
        <f>SUM(B19:B30)</f>
        <v>3519251</v>
      </c>
      <c r="C31" s="622">
        <f>SUM(C19:C30)</f>
        <v>100000</v>
      </c>
      <c r="D31" s="622">
        <f>SUM(D19:D30)</f>
        <v>3619251</v>
      </c>
      <c r="F31" s="28"/>
      <c r="G31" s="107"/>
      <c r="H31" s="107"/>
      <c r="I31" s="108"/>
      <c r="J31" s="107"/>
      <c r="K31" s="109"/>
      <c r="L31" s="107"/>
      <c r="M31" s="28"/>
      <c r="N31" s="28"/>
      <c r="O31" s="28"/>
      <c r="P31" s="28"/>
      <c r="Q31" s="28"/>
      <c r="R31" s="28"/>
      <c r="S31" s="28"/>
      <c r="T31" s="28"/>
      <c r="U31" s="28"/>
      <c r="V31" s="28"/>
      <c r="W31" s="28"/>
      <c r="X31" s="28"/>
    </row>
    <row r="32" spans="1:24" ht="18.75" thickTop="1" x14ac:dyDescent="0.25">
      <c r="A32" s="303"/>
      <c r="B32" s="299"/>
      <c r="C32" s="299"/>
      <c r="D32" s="299"/>
      <c r="F32" s="249"/>
      <c r="G32" s="84"/>
      <c r="H32" s="84"/>
      <c r="I32" s="409"/>
      <c r="J32" s="84"/>
      <c r="K32" s="85"/>
      <c r="L32" s="84"/>
      <c r="M32" s="33"/>
      <c r="N32" s="33"/>
      <c r="O32" s="33"/>
      <c r="P32" s="33"/>
      <c r="Q32" s="33"/>
      <c r="R32" s="33"/>
      <c r="S32" s="33"/>
      <c r="T32" s="33"/>
      <c r="U32" s="33"/>
      <c r="V32" s="33"/>
      <c r="W32" s="33"/>
      <c r="X32" s="33"/>
    </row>
    <row r="33" spans="1:39" ht="18" x14ac:dyDescent="0.25">
      <c r="A33" s="303" t="s">
        <v>22</v>
      </c>
      <c r="B33" s="299"/>
      <c r="C33" s="299"/>
      <c r="D33" s="299"/>
      <c r="E33" s="251"/>
      <c r="F33" s="249"/>
      <c r="G33" s="84"/>
      <c r="H33" s="84"/>
      <c r="I33" s="409"/>
      <c r="J33" s="84"/>
      <c r="K33" s="85"/>
      <c r="L33" s="84"/>
      <c r="M33" s="33"/>
      <c r="N33" s="33"/>
      <c r="O33" s="33"/>
      <c r="P33" s="33"/>
      <c r="Q33" s="33"/>
      <c r="R33" s="33"/>
      <c r="S33" s="33"/>
      <c r="T33" s="33"/>
      <c r="U33" s="33"/>
      <c r="V33" s="33"/>
      <c r="W33" s="33"/>
      <c r="X33" s="33"/>
    </row>
    <row r="34" spans="1:39" s="36" customFormat="1" ht="20.25" x14ac:dyDescent="0.3">
      <c r="A34" s="357" t="s">
        <v>87</v>
      </c>
      <c r="B34" s="301"/>
      <c r="C34" s="356"/>
      <c r="D34" s="356"/>
      <c r="E34" s="630"/>
      <c r="F34" s="114"/>
      <c r="G34" s="114"/>
      <c r="H34" s="114"/>
      <c r="I34" s="114"/>
      <c r="J34" s="114"/>
      <c r="K34" s="115"/>
      <c r="L34" s="114"/>
      <c r="M34" s="35"/>
      <c r="N34" s="35"/>
      <c r="O34" s="35"/>
      <c r="P34" s="35"/>
      <c r="Q34" s="35"/>
      <c r="R34" s="35"/>
      <c r="S34" s="35"/>
      <c r="T34" s="35"/>
      <c r="U34" s="35"/>
      <c r="V34" s="35"/>
      <c r="W34" s="35"/>
      <c r="X34" s="35"/>
    </row>
    <row r="35" spans="1:39" ht="18.75" thickBot="1" x14ac:dyDescent="0.3">
      <c r="A35" s="358"/>
      <c r="B35" s="359"/>
      <c r="C35" s="361"/>
      <c r="D35" s="361"/>
      <c r="E35" s="251"/>
      <c r="F35" s="84"/>
      <c r="G35" s="114"/>
      <c r="H35" s="84"/>
      <c r="I35" s="409"/>
      <c r="J35" s="84"/>
      <c r="K35" s="85"/>
      <c r="L35" s="33"/>
      <c r="M35" s="33"/>
      <c r="N35" s="33"/>
      <c r="O35" s="33"/>
      <c r="P35" s="33"/>
      <c r="Q35" s="33"/>
      <c r="R35" s="33"/>
      <c r="S35" s="33"/>
      <c r="T35" s="33"/>
      <c r="U35" s="33"/>
      <c r="V35" s="33"/>
      <c r="W35" s="33"/>
      <c r="X35" s="33"/>
    </row>
    <row r="36" spans="1:39" s="47" customFormat="1" ht="18.95" customHeight="1" x14ac:dyDescent="0.25">
      <c r="A36" s="636" t="s">
        <v>197</v>
      </c>
      <c r="B36" s="620" t="s">
        <v>218</v>
      </c>
      <c r="C36" s="623" t="s">
        <v>9</v>
      </c>
      <c r="D36" s="623" t="s">
        <v>16</v>
      </c>
      <c r="E36" s="330"/>
      <c r="F36" s="28"/>
      <c r="G36" s="114"/>
      <c r="H36" s="28"/>
      <c r="I36" s="28"/>
      <c r="J36" s="28"/>
      <c r="K36" s="28"/>
      <c r="L36" s="28"/>
      <c r="M36" s="28"/>
      <c r="N36" s="28"/>
      <c r="O36" s="28"/>
      <c r="P36" s="28"/>
      <c r="Q36" s="28"/>
      <c r="R36" s="28"/>
      <c r="S36" s="28"/>
      <c r="T36" s="28"/>
      <c r="U36" s="28"/>
      <c r="V36" s="28"/>
      <c r="W36" s="28"/>
      <c r="X36" s="28"/>
    </row>
    <row r="37" spans="1:39" s="47" customFormat="1" ht="18.95" customHeight="1" thickBot="1" x14ac:dyDescent="0.3">
      <c r="A37" s="637"/>
      <c r="B37" s="619" t="s">
        <v>9</v>
      </c>
      <c r="C37" s="619" t="s">
        <v>190</v>
      </c>
      <c r="D37" s="619" t="s">
        <v>9</v>
      </c>
      <c r="E37" s="336"/>
      <c r="F37" s="55"/>
      <c r="G37" s="336"/>
      <c r="H37" s="55"/>
      <c r="I37" s="55"/>
      <c r="J37" s="55"/>
      <c r="K37" s="55"/>
      <c r="L37" s="55"/>
      <c r="M37" s="55"/>
      <c r="N37" s="55"/>
      <c r="O37" s="55"/>
      <c r="P37" s="55"/>
      <c r="Q37" s="55"/>
      <c r="R37" s="55"/>
      <c r="S37" s="55"/>
      <c r="T37" s="55"/>
      <c r="U37" s="55"/>
      <c r="V37" s="55"/>
      <c r="W37" s="55"/>
      <c r="X37" s="55"/>
      <c r="Y37" s="56"/>
      <c r="Z37" s="56"/>
      <c r="AA37" s="56"/>
      <c r="AB37" s="56"/>
      <c r="AC37" s="56"/>
      <c r="AD37" s="56"/>
      <c r="AE37" s="56"/>
      <c r="AF37" s="56"/>
      <c r="AG37" s="56"/>
      <c r="AH37" s="56"/>
      <c r="AI37" s="56"/>
      <c r="AJ37" s="56"/>
      <c r="AK37" s="56"/>
      <c r="AL37" s="56"/>
      <c r="AM37" s="56"/>
    </row>
    <row r="38" spans="1:39" ht="18" hidden="1" x14ac:dyDescent="0.25">
      <c r="A38" s="327"/>
      <c r="B38" s="64"/>
      <c r="C38" s="302"/>
      <c r="D38" s="302"/>
      <c r="E38" s="248"/>
      <c r="F38" s="84"/>
      <c r="G38" s="55"/>
      <c r="H38" s="55"/>
      <c r="I38" s="55"/>
      <c r="J38" s="84"/>
      <c r="K38" s="33"/>
      <c r="L38" s="33"/>
      <c r="M38" s="33"/>
      <c r="N38" s="33"/>
      <c r="O38" s="33"/>
      <c r="P38" s="33"/>
      <c r="Q38" s="33"/>
      <c r="R38" s="33"/>
      <c r="S38" s="33"/>
      <c r="T38" s="33"/>
      <c r="U38" s="33"/>
      <c r="V38" s="33"/>
      <c r="W38" s="33"/>
      <c r="X38" s="33"/>
    </row>
    <row r="39" spans="1:39" x14ac:dyDescent="0.2">
      <c r="A39" s="395" t="s">
        <v>177</v>
      </c>
      <c r="B39" s="499">
        <v>1147217</v>
      </c>
      <c r="C39" s="500">
        <v>0</v>
      </c>
      <c r="D39" s="500">
        <f t="shared" ref="D39:D44" si="2">+B39+C39</f>
        <v>1147217</v>
      </c>
      <c r="E39" s="337"/>
      <c r="F39" s="84"/>
      <c r="G39" s="84"/>
      <c r="I39" s="84"/>
      <c r="K39" s="33"/>
      <c r="L39" s="33"/>
      <c r="M39" s="33"/>
      <c r="N39" s="33"/>
      <c r="O39" s="33"/>
      <c r="P39" s="33"/>
      <c r="Q39" s="33"/>
      <c r="R39" s="33"/>
      <c r="S39" s="33"/>
      <c r="T39" s="33"/>
      <c r="U39" s="33"/>
      <c r="V39" s="33"/>
      <c r="W39" s="33"/>
      <c r="X39" s="33"/>
    </row>
    <row r="40" spans="1:39" x14ac:dyDescent="0.2">
      <c r="A40" s="395" t="s">
        <v>178</v>
      </c>
      <c r="B40" s="396">
        <v>383893</v>
      </c>
      <c r="C40" s="434">
        <v>0</v>
      </c>
      <c r="D40" s="434">
        <f t="shared" si="2"/>
        <v>383893</v>
      </c>
      <c r="E40" s="337"/>
      <c r="F40" s="84"/>
      <c r="G40" s="84"/>
      <c r="I40" s="84"/>
      <c r="K40" s="33"/>
      <c r="L40" s="33"/>
      <c r="M40" s="33"/>
      <c r="N40" s="33"/>
      <c r="O40" s="33"/>
      <c r="P40" s="33"/>
      <c r="Q40" s="33"/>
      <c r="R40" s="33"/>
      <c r="S40" s="33"/>
      <c r="T40" s="33"/>
      <c r="U40" s="33"/>
      <c r="V40" s="33"/>
      <c r="W40" s="33"/>
      <c r="X40" s="33"/>
    </row>
    <row r="41" spans="1:39" x14ac:dyDescent="0.2">
      <c r="A41" s="395" t="s">
        <v>179</v>
      </c>
      <c r="B41" s="396">
        <v>1868741</v>
      </c>
      <c r="C41" s="434">
        <v>100000</v>
      </c>
      <c r="D41" s="434">
        <f t="shared" si="2"/>
        <v>1968741</v>
      </c>
      <c r="E41" s="248"/>
      <c r="F41" s="84"/>
      <c r="K41" s="33"/>
      <c r="L41" s="33"/>
      <c r="M41" s="33"/>
      <c r="N41" s="33"/>
      <c r="O41" s="33"/>
      <c r="P41" s="33"/>
      <c r="Q41" s="33"/>
      <c r="R41" s="33"/>
      <c r="S41" s="33"/>
      <c r="T41" s="33"/>
      <c r="U41" s="33"/>
      <c r="V41" s="33"/>
      <c r="W41" s="33"/>
      <c r="X41" s="33"/>
    </row>
    <row r="42" spans="1:39" x14ac:dyDescent="0.2">
      <c r="A42" s="395" t="s">
        <v>180</v>
      </c>
      <c r="B42" s="396">
        <v>92600</v>
      </c>
      <c r="C42" s="434">
        <v>0</v>
      </c>
      <c r="D42" s="434">
        <f t="shared" si="2"/>
        <v>92600</v>
      </c>
      <c r="E42" s="248"/>
      <c r="F42" s="84"/>
      <c r="K42" s="33"/>
      <c r="L42" s="33"/>
      <c r="M42" s="33"/>
      <c r="N42" s="33"/>
      <c r="O42" s="33"/>
      <c r="P42" s="33"/>
      <c r="Q42" s="33"/>
      <c r="R42" s="33"/>
      <c r="S42" s="33"/>
      <c r="T42" s="33"/>
      <c r="U42" s="33"/>
      <c r="V42" s="33"/>
      <c r="W42" s="33"/>
      <c r="X42" s="33"/>
    </row>
    <row r="43" spans="1:39" x14ac:dyDescent="0.2">
      <c r="A43" s="395" t="s">
        <v>222</v>
      </c>
      <c r="B43" s="396">
        <v>12000</v>
      </c>
      <c r="C43" s="434">
        <v>0</v>
      </c>
      <c r="D43" s="434">
        <f t="shared" si="2"/>
        <v>12000</v>
      </c>
      <c r="E43" s="248"/>
      <c r="F43" s="84"/>
      <c r="K43" s="33"/>
      <c r="L43" s="33"/>
      <c r="M43" s="33"/>
      <c r="N43" s="33"/>
      <c r="O43" s="33"/>
      <c r="P43" s="33"/>
      <c r="Q43" s="33"/>
      <c r="R43" s="33"/>
      <c r="S43" s="33"/>
      <c r="T43" s="33"/>
      <c r="U43" s="33"/>
      <c r="V43" s="33"/>
      <c r="W43" s="33"/>
      <c r="X43" s="33"/>
    </row>
    <row r="44" spans="1:39" x14ac:dyDescent="0.2">
      <c r="A44" s="395" t="s">
        <v>195</v>
      </c>
      <c r="B44" s="396">
        <v>14800</v>
      </c>
      <c r="C44" s="434">
        <v>0</v>
      </c>
      <c r="D44" s="434">
        <f t="shared" si="2"/>
        <v>14800</v>
      </c>
      <c r="E44" s="248"/>
      <c r="F44" s="84"/>
      <c r="K44" s="33"/>
      <c r="L44" s="33"/>
      <c r="M44" s="33"/>
      <c r="N44" s="33"/>
      <c r="O44" s="33"/>
      <c r="P44" s="33"/>
      <c r="Q44" s="33"/>
      <c r="R44" s="33"/>
      <c r="S44" s="33"/>
      <c r="T44" s="33"/>
      <c r="U44" s="33"/>
      <c r="V44" s="33"/>
      <c r="W44" s="33"/>
      <c r="X44" s="33"/>
    </row>
    <row r="45" spans="1:39" ht="18.75" thickBot="1" x14ac:dyDescent="0.3">
      <c r="A45" s="624" t="s">
        <v>201</v>
      </c>
      <c r="B45" s="625">
        <f>SUM(B39:B44)</f>
        <v>3519251</v>
      </c>
      <c r="C45" s="625">
        <f>SUM(C39:C44)</f>
        <v>100000</v>
      </c>
      <c r="D45" s="625">
        <f>SUM(D39:D44)</f>
        <v>3619251</v>
      </c>
      <c r="E45" s="248"/>
      <c r="F45" s="521"/>
      <c r="G45" s="521"/>
      <c r="H45" s="521"/>
      <c r="J45" s="84"/>
      <c r="K45" s="33"/>
      <c r="L45" s="33"/>
      <c r="M45" s="33"/>
      <c r="N45" s="33"/>
      <c r="O45" s="33"/>
      <c r="P45" s="33"/>
      <c r="Q45" s="33"/>
      <c r="R45" s="33"/>
      <c r="S45" s="33"/>
      <c r="T45" s="33"/>
      <c r="U45" s="33"/>
      <c r="V45" s="33"/>
      <c r="W45" s="33"/>
      <c r="X45" s="33"/>
    </row>
    <row r="46" spans="1:39" ht="18.75" thickTop="1" x14ac:dyDescent="0.25">
      <c r="A46" s="303"/>
      <c r="B46" s="301"/>
      <c r="C46" s="248"/>
      <c r="D46" s="248"/>
      <c r="E46" s="248"/>
      <c r="J46" s="84"/>
      <c r="K46" s="33"/>
      <c r="L46" s="33"/>
      <c r="M46" s="33"/>
      <c r="N46" s="33"/>
      <c r="O46" s="33"/>
      <c r="P46" s="33"/>
      <c r="Q46" s="33"/>
      <c r="R46" s="33"/>
      <c r="S46" s="33"/>
      <c r="T46" s="33"/>
      <c r="U46" s="33"/>
      <c r="V46" s="33"/>
      <c r="W46" s="33"/>
      <c r="X46" s="33"/>
    </row>
    <row r="47" spans="1:39" s="47" customFormat="1" ht="20.25" customHeight="1" x14ac:dyDescent="0.25">
      <c r="A47" s="435"/>
      <c r="B47" s="301"/>
      <c r="C47" s="436"/>
      <c r="D47" s="248"/>
      <c r="E47" s="330"/>
      <c r="G47" s="522"/>
      <c r="J47" s="107"/>
      <c r="K47" s="28"/>
      <c r="L47" s="28"/>
      <c r="M47" s="28"/>
      <c r="N47" s="28"/>
      <c r="O47" s="28"/>
      <c r="P47" s="28"/>
      <c r="Q47" s="28"/>
      <c r="R47" s="28"/>
      <c r="S47" s="28"/>
      <c r="T47" s="28"/>
      <c r="U47" s="28"/>
      <c r="V47" s="28"/>
      <c r="W47" s="28"/>
      <c r="X47" s="28"/>
    </row>
    <row r="48" spans="1:39" ht="18" x14ac:dyDescent="0.25">
      <c r="A48" s="439"/>
      <c r="B48" s="299"/>
      <c r="C48" s="300"/>
      <c r="D48" s="300"/>
      <c r="E48" s="248"/>
      <c r="J48" s="84"/>
      <c r="K48" s="33"/>
      <c r="L48" s="33"/>
      <c r="M48" s="33"/>
      <c r="N48" s="33"/>
      <c r="O48" s="33"/>
      <c r="P48" s="33"/>
      <c r="Q48" s="33"/>
      <c r="R48" s="33"/>
      <c r="S48" s="33"/>
      <c r="T48" s="33"/>
      <c r="U48" s="33"/>
      <c r="V48" s="33"/>
      <c r="W48" s="33"/>
      <c r="X48" s="33"/>
    </row>
    <row r="49" spans="1:39" ht="15.75" x14ac:dyDescent="0.25">
      <c r="A49" s="439"/>
      <c r="B49" s="443"/>
      <c r="C49" s="445"/>
      <c r="D49" s="446"/>
      <c r="E49" s="248"/>
      <c r="F49" s="149"/>
      <c r="H49" s="33"/>
      <c r="I49" s="33"/>
      <c r="J49" s="33"/>
      <c r="K49" s="33"/>
      <c r="L49" s="33"/>
      <c r="M49" s="33"/>
      <c r="N49" s="33"/>
      <c r="O49" s="33"/>
      <c r="P49" s="33"/>
      <c r="Q49" s="33"/>
      <c r="R49" s="33"/>
      <c r="S49" s="33"/>
      <c r="T49" s="33"/>
      <c r="U49" s="33"/>
      <c r="V49" s="33"/>
      <c r="W49" s="33"/>
      <c r="X49" s="33"/>
    </row>
    <row r="50" spans="1:39" x14ac:dyDescent="0.2">
      <c r="A50" s="447"/>
      <c r="B50" s="454"/>
      <c r="C50" s="447"/>
      <c r="D50" s="447"/>
      <c r="E50" s="248"/>
      <c r="F50" s="33"/>
      <c r="H50" s="33"/>
      <c r="I50" s="33"/>
      <c r="J50" s="33"/>
      <c r="K50" s="33"/>
      <c r="L50" s="33"/>
      <c r="M50" s="33"/>
      <c r="N50" s="33"/>
      <c r="O50" s="33"/>
      <c r="P50" s="33"/>
      <c r="Q50" s="33"/>
      <c r="R50" s="33"/>
      <c r="S50" s="33"/>
      <c r="T50" s="33"/>
      <c r="U50" s="33"/>
      <c r="V50" s="33"/>
      <c r="W50" s="33"/>
      <c r="X50" s="33"/>
      <c r="Y50" s="450"/>
      <c r="Z50" s="450"/>
      <c r="AA50" s="450"/>
      <c r="AB50" s="450"/>
      <c r="AC50" s="450"/>
      <c r="AD50" s="450"/>
      <c r="AE50" s="450"/>
    </row>
    <row r="51" spans="1:39" ht="18" x14ac:dyDescent="0.25">
      <c r="A51" s="421"/>
      <c r="B51" s="61"/>
      <c r="C51" s="62"/>
      <c r="D51" s="62"/>
      <c r="E51" s="455"/>
      <c r="F51" s="33"/>
      <c r="G51" s="157"/>
      <c r="H51" s="456"/>
      <c r="I51" s="456"/>
      <c r="J51" s="447"/>
      <c r="K51" s="447"/>
      <c r="L51" s="457"/>
      <c r="M51" s="457"/>
      <c r="N51" s="62"/>
      <c r="O51" s="62"/>
      <c r="P51" s="62"/>
      <c r="Q51" s="62"/>
      <c r="R51" s="62"/>
      <c r="S51" s="62"/>
      <c r="T51" s="62"/>
      <c r="U51" s="62"/>
      <c r="V51" s="62"/>
      <c r="W51" s="62"/>
      <c r="X51" s="62"/>
      <c r="Y51" s="450"/>
      <c r="Z51" s="450"/>
      <c r="AA51" s="450"/>
      <c r="AB51" s="450"/>
      <c r="AC51" s="450"/>
      <c r="AD51" s="450"/>
      <c r="AE51" s="450"/>
      <c r="AF51" s="450"/>
    </row>
    <row r="52" spans="1:39" x14ac:dyDescent="0.2">
      <c r="A52" s="211" t="s">
        <v>77</v>
      </c>
      <c r="B52" s="213">
        <f>B31-B45</f>
        <v>0</v>
      </c>
      <c r="C52" s="213">
        <f>C31-C45</f>
        <v>0</v>
      </c>
      <c r="D52" s="213">
        <f>D31-D45</f>
        <v>0</v>
      </c>
      <c r="E52" s="447"/>
      <c r="F52" s="447"/>
      <c r="G52" s="456"/>
      <c r="H52" s="459"/>
      <c r="I52" s="456"/>
      <c r="J52" s="447"/>
      <c r="K52" s="447"/>
      <c r="L52" s="447"/>
      <c r="M52" s="447"/>
      <c r="N52" s="62"/>
      <c r="O52" s="62"/>
      <c r="P52" s="62"/>
      <c r="Q52" s="62"/>
      <c r="R52" s="62"/>
      <c r="S52" s="62"/>
      <c r="T52" s="62"/>
      <c r="U52" s="62"/>
      <c r="V52" s="62"/>
      <c r="W52" s="62"/>
      <c r="X52" s="62"/>
      <c r="Y52" s="450"/>
      <c r="Z52" s="450"/>
      <c r="AA52" s="450"/>
      <c r="AB52" s="450"/>
      <c r="AC52" s="450"/>
      <c r="AD52" s="450"/>
      <c r="AE52" s="450"/>
      <c r="AF52" s="450"/>
    </row>
    <row r="53" spans="1:39" x14ac:dyDescent="0.2">
      <c r="B53" s="163"/>
      <c r="C53" s="163"/>
      <c r="D53" s="163"/>
      <c r="E53" s="62"/>
      <c r="F53" s="62"/>
      <c r="G53" s="456"/>
      <c r="H53" s="164"/>
      <c r="I53" s="456"/>
      <c r="J53" s="62"/>
      <c r="K53" s="62"/>
      <c r="L53" s="62"/>
      <c r="M53" s="62"/>
      <c r="N53" s="62"/>
      <c r="O53" s="62"/>
      <c r="P53" s="62"/>
      <c r="Q53" s="62"/>
      <c r="R53" s="62"/>
      <c r="S53" s="62"/>
      <c r="T53" s="62"/>
      <c r="U53" s="62"/>
      <c r="V53" s="62"/>
      <c r="W53" s="62"/>
      <c r="X53" s="62"/>
      <c r="Y53" s="450"/>
      <c r="Z53" s="450"/>
      <c r="AA53" s="450"/>
      <c r="AB53" s="450"/>
      <c r="AC53" s="450"/>
      <c r="AD53" s="450"/>
      <c r="AE53" s="450"/>
      <c r="AF53" s="450"/>
    </row>
    <row r="54" spans="1:39" ht="18" x14ac:dyDescent="0.25">
      <c r="A54" s="110"/>
      <c r="B54" s="63"/>
      <c r="C54" s="462"/>
      <c r="D54" s="462"/>
      <c r="E54" s="161"/>
      <c r="F54" s="161"/>
      <c r="G54" s="164"/>
      <c r="H54" s="169"/>
      <c r="I54" s="169"/>
      <c r="J54" s="161"/>
      <c r="K54" s="161"/>
      <c r="L54" s="161"/>
      <c r="M54" s="161"/>
      <c r="N54" s="161"/>
      <c r="O54" s="161"/>
      <c r="P54" s="161"/>
      <c r="Q54" s="161"/>
      <c r="R54" s="161"/>
      <c r="S54" s="161"/>
      <c r="T54" s="161"/>
      <c r="U54" s="161"/>
      <c r="V54" s="161"/>
      <c r="W54" s="161"/>
      <c r="X54" s="161"/>
      <c r="Y54" s="161"/>
      <c r="Z54" s="161"/>
      <c r="AA54" s="161"/>
      <c r="AB54" s="161"/>
      <c r="AC54" s="161"/>
      <c r="AD54" s="161"/>
      <c r="AE54" s="161"/>
      <c r="AF54" s="163"/>
      <c r="AG54" s="163"/>
      <c r="AH54" s="163"/>
      <c r="AI54" s="163"/>
      <c r="AJ54" s="163"/>
      <c r="AK54" s="163"/>
      <c r="AL54" s="163"/>
      <c r="AM54" s="163"/>
    </row>
    <row r="55" spans="1:39" ht="18" x14ac:dyDescent="0.25">
      <c r="A55" s="421"/>
      <c r="B55" s="63"/>
      <c r="C55" s="33"/>
      <c r="D55" s="33"/>
      <c r="E55" s="163"/>
      <c r="F55" s="163"/>
      <c r="G55" s="169"/>
      <c r="H55" s="172"/>
      <c r="I55" s="172"/>
      <c r="J55" s="163"/>
      <c r="K55" s="163"/>
      <c r="L55" s="163"/>
      <c r="M55" s="163"/>
      <c r="N55" s="163"/>
      <c r="O55" s="163"/>
      <c r="P55" s="163"/>
      <c r="Q55" s="163"/>
      <c r="R55" s="163"/>
      <c r="S55" s="163"/>
      <c r="T55" s="163"/>
      <c r="U55" s="163"/>
      <c r="V55" s="163"/>
      <c r="W55" s="163"/>
      <c r="X55" s="163"/>
      <c r="Y55" s="163"/>
      <c r="Z55" s="163"/>
      <c r="AA55" s="163"/>
      <c r="AB55" s="163"/>
      <c r="AC55" s="163"/>
      <c r="AD55" s="163"/>
      <c r="AE55" s="163"/>
      <c r="AF55" s="163"/>
      <c r="AG55" s="163"/>
      <c r="AH55" s="163"/>
      <c r="AI55" s="163"/>
      <c r="AJ55" s="163"/>
      <c r="AK55" s="163"/>
      <c r="AL55" s="163"/>
      <c r="AM55" s="163"/>
    </row>
    <row r="56" spans="1:39" ht="18" x14ac:dyDescent="0.25">
      <c r="A56" s="421"/>
      <c r="B56" s="63"/>
      <c r="C56" s="33"/>
      <c r="D56" s="33"/>
      <c r="E56" s="462"/>
      <c r="J56" s="462"/>
      <c r="K56" s="462"/>
      <c r="L56" s="462"/>
      <c r="M56" s="462"/>
      <c r="N56" s="462"/>
      <c r="O56" s="462"/>
      <c r="P56" s="462"/>
      <c r="Q56" s="462"/>
      <c r="R56" s="462"/>
      <c r="S56" s="462"/>
      <c r="T56" s="462"/>
      <c r="U56" s="462"/>
      <c r="V56" s="462"/>
      <c r="W56" s="462"/>
      <c r="X56" s="462"/>
    </row>
    <row r="57" spans="1:39" ht="18" x14ac:dyDescent="0.25">
      <c r="A57" s="421"/>
      <c r="B57" s="352"/>
      <c r="C57" s="33"/>
      <c r="D57" s="33"/>
      <c r="E57" s="33"/>
      <c r="F57" s="462"/>
      <c r="G57" s="172"/>
      <c r="H57" s="157"/>
      <c r="I57" s="157"/>
      <c r="J57" s="33"/>
      <c r="K57" s="33"/>
      <c r="L57" s="33"/>
      <c r="M57" s="33"/>
      <c r="N57" s="33"/>
      <c r="O57" s="33"/>
      <c r="P57" s="33"/>
      <c r="Q57" s="33"/>
      <c r="R57" s="33"/>
      <c r="S57" s="33"/>
      <c r="T57" s="33"/>
      <c r="U57" s="33"/>
      <c r="V57" s="33"/>
      <c r="W57" s="33"/>
      <c r="X57" s="33"/>
    </row>
    <row r="58" spans="1:39" ht="18" x14ac:dyDescent="0.25">
      <c r="A58" s="421"/>
      <c r="B58" s="352"/>
      <c r="C58" s="33"/>
      <c r="D58" s="33"/>
      <c r="E58" s="33"/>
      <c r="F58" s="33"/>
      <c r="G58" s="157"/>
      <c r="H58" s="177"/>
      <c r="I58" s="177"/>
      <c r="J58" s="33"/>
      <c r="K58" s="33"/>
      <c r="L58" s="33"/>
      <c r="M58" s="33"/>
      <c r="N58" s="33"/>
      <c r="O58" s="33"/>
      <c r="P58" s="33"/>
      <c r="Q58" s="33"/>
      <c r="R58" s="33"/>
      <c r="S58" s="33"/>
      <c r="T58" s="33"/>
      <c r="U58" s="33"/>
      <c r="V58" s="33"/>
      <c r="W58" s="33"/>
      <c r="X58" s="33"/>
    </row>
    <row r="59" spans="1:39" ht="18" x14ac:dyDescent="0.25">
      <c r="A59" s="421"/>
      <c r="B59" s="352"/>
      <c r="C59" s="33"/>
      <c r="D59" s="33"/>
      <c r="E59" s="33"/>
      <c r="F59" s="33"/>
      <c r="G59" s="177"/>
      <c r="H59" s="177"/>
      <c r="I59" s="177"/>
      <c r="J59" s="33"/>
      <c r="K59" s="33"/>
      <c r="L59" s="33"/>
      <c r="M59" s="33"/>
      <c r="N59" s="33"/>
      <c r="O59" s="33"/>
      <c r="P59" s="33"/>
      <c r="Q59" s="33"/>
      <c r="R59" s="33"/>
      <c r="S59" s="33"/>
      <c r="T59" s="33"/>
      <c r="U59" s="33"/>
      <c r="V59" s="33"/>
      <c r="W59" s="33"/>
      <c r="X59" s="33"/>
    </row>
    <row r="60" spans="1:39" ht="18" x14ac:dyDescent="0.25">
      <c r="A60" s="421"/>
      <c r="B60" s="473"/>
      <c r="C60" s="33"/>
      <c r="D60" s="33"/>
      <c r="E60" s="33"/>
      <c r="F60" s="33"/>
      <c r="G60" s="177"/>
      <c r="H60" s="177"/>
      <c r="I60" s="177"/>
      <c r="J60" s="33"/>
      <c r="K60" s="33"/>
      <c r="L60" s="33"/>
      <c r="M60" s="33"/>
      <c r="N60" s="33"/>
      <c r="O60" s="33"/>
      <c r="P60" s="33"/>
      <c r="Q60" s="33"/>
      <c r="R60" s="33"/>
      <c r="S60" s="33"/>
      <c r="T60" s="33"/>
      <c r="U60" s="33"/>
      <c r="V60" s="33"/>
      <c r="W60" s="33"/>
      <c r="X60" s="33"/>
    </row>
    <row r="61" spans="1:39" ht="18" x14ac:dyDescent="0.25">
      <c r="A61" s="421"/>
      <c r="B61" s="475"/>
      <c r="C61" s="33"/>
      <c r="D61" s="33"/>
      <c r="E61" s="33"/>
      <c r="F61" s="33"/>
      <c r="G61" s="177"/>
      <c r="H61" s="177"/>
      <c r="I61" s="177"/>
      <c r="J61" s="33"/>
      <c r="K61" s="33"/>
      <c r="L61" s="33"/>
      <c r="M61" s="33"/>
      <c r="N61" s="33"/>
      <c r="O61" s="33"/>
      <c r="P61" s="33"/>
      <c r="Q61" s="33"/>
      <c r="R61" s="33"/>
      <c r="S61" s="33"/>
      <c r="T61" s="33"/>
      <c r="U61" s="33"/>
      <c r="V61" s="33"/>
      <c r="W61" s="33"/>
      <c r="X61" s="33"/>
    </row>
    <row r="62" spans="1:39" ht="18" x14ac:dyDescent="0.25">
      <c r="A62" s="421"/>
      <c r="B62" s="475"/>
      <c r="C62" s="33"/>
      <c r="D62" s="33"/>
      <c r="E62" s="33"/>
      <c r="F62" s="33"/>
      <c r="G62" s="177"/>
      <c r="H62" s="177"/>
      <c r="I62" s="177"/>
      <c r="J62" s="33"/>
      <c r="K62" s="33"/>
      <c r="L62" s="33"/>
      <c r="M62" s="33"/>
      <c r="N62" s="33"/>
      <c r="O62" s="33"/>
      <c r="P62" s="33"/>
      <c r="Q62" s="33"/>
      <c r="R62" s="33"/>
      <c r="S62" s="33"/>
      <c r="T62" s="33"/>
      <c r="U62" s="33"/>
      <c r="V62" s="33"/>
      <c r="W62" s="33"/>
      <c r="X62" s="33"/>
    </row>
    <row r="63" spans="1:39" ht="18" x14ac:dyDescent="0.25">
      <c r="A63" s="421"/>
      <c r="B63" s="475"/>
      <c r="C63" s="33"/>
      <c r="D63" s="33"/>
      <c r="E63" s="33"/>
      <c r="F63" s="33"/>
      <c r="G63" s="33"/>
      <c r="H63" s="33"/>
      <c r="I63" s="33"/>
      <c r="J63" s="33"/>
      <c r="K63" s="33"/>
      <c r="L63" s="33"/>
      <c r="M63" s="33"/>
      <c r="N63" s="33"/>
      <c r="O63" s="33"/>
      <c r="P63" s="33"/>
      <c r="Q63" s="33"/>
      <c r="R63" s="33"/>
      <c r="S63" s="33"/>
      <c r="T63" s="33"/>
      <c r="U63" s="33"/>
      <c r="V63" s="33"/>
      <c r="W63" s="33"/>
      <c r="X63" s="33"/>
    </row>
    <row r="64" spans="1:39" ht="18" x14ac:dyDescent="0.25">
      <c r="A64" s="421"/>
      <c r="B64" s="475"/>
      <c r="C64" s="33"/>
      <c r="D64" s="33"/>
      <c r="E64" s="33"/>
      <c r="F64" s="84"/>
      <c r="G64" s="84"/>
      <c r="H64" s="186"/>
      <c r="I64" s="33"/>
      <c r="J64" s="33"/>
      <c r="K64" s="33"/>
      <c r="L64" s="33"/>
      <c r="M64" s="33"/>
      <c r="N64" s="33"/>
      <c r="O64" s="33"/>
      <c r="P64" s="33"/>
      <c r="Q64" s="33"/>
      <c r="R64" s="33"/>
      <c r="S64" s="33"/>
      <c r="T64" s="33"/>
      <c r="U64" s="33"/>
      <c r="V64" s="33"/>
      <c r="W64" s="33"/>
      <c r="X64" s="33"/>
    </row>
    <row r="65" spans="1:24" ht="18" x14ac:dyDescent="0.25">
      <c r="A65" s="421"/>
      <c r="B65" s="475"/>
      <c r="C65" s="33"/>
      <c r="D65" s="33"/>
      <c r="E65" s="33"/>
      <c r="F65" s="84"/>
      <c r="G65" s="84"/>
      <c r="H65" s="186"/>
      <c r="I65" s="33"/>
      <c r="J65" s="33"/>
      <c r="K65" s="33"/>
      <c r="L65" s="33"/>
      <c r="M65" s="33"/>
      <c r="N65" s="33"/>
      <c r="O65" s="33"/>
      <c r="P65" s="33"/>
      <c r="Q65" s="33"/>
      <c r="R65" s="33"/>
      <c r="S65" s="33"/>
      <c r="T65" s="33"/>
      <c r="U65" s="33"/>
      <c r="V65" s="33"/>
      <c r="W65" s="33"/>
      <c r="X65" s="33"/>
    </row>
    <row r="66" spans="1:24" ht="18" x14ac:dyDescent="0.25">
      <c r="A66" s="421"/>
      <c r="B66" s="475"/>
      <c r="C66" s="33"/>
      <c r="D66" s="33"/>
      <c r="E66" s="33"/>
      <c r="F66" s="84"/>
      <c r="G66" s="84"/>
      <c r="H66" s="186"/>
      <c r="I66" s="33"/>
      <c r="J66" s="33"/>
      <c r="K66" s="33"/>
      <c r="L66" s="33"/>
      <c r="M66" s="33"/>
      <c r="N66" s="33"/>
      <c r="O66" s="33"/>
      <c r="P66" s="33"/>
      <c r="Q66" s="33"/>
      <c r="R66" s="33"/>
      <c r="S66" s="33"/>
      <c r="T66" s="33"/>
      <c r="U66" s="33"/>
      <c r="V66" s="33"/>
      <c r="W66" s="33"/>
      <c r="X66" s="33"/>
    </row>
    <row r="67" spans="1:24" ht="18" x14ac:dyDescent="0.25">
      <c r="A67" s="421"/>
      <c r="B67" s="475"/>
      <c r="C67" s="33"/>
      <c r="D67" s="33"/>
      <c r="E67" s="33"/>
      <c r="F67" s="84"/>
      <c r="G67" s="84"/>
      <c r="H67" s="186"/>
      <c r="I67" s="33"/>
      <c r="J67" s="33"/>
      <c r="K67" s="33"/>
      <c r="L67" s="33"/>
      <c r="M67" s="33"/>
      <c r="N67" s="33"/>
      <c r="O67" s="33"/>
      <c r="P67" s="33"/>
      <c r="Q67" s="33"/>
      <c r="R67" s="33"/>
      <c r="S67" s="33"/>
      <c r="T67" s="33"/>
      <c r="U67" s="33"/>
      <c r="V67" s="33"/>
      <c r="W67" s="33"/>
      <c r="X67" s="33"/>
    </row>
    <row r="68" spans="1:24" ht="18" x14ac:dyDescent="0.25">
      <c r="B68" s="475"/>
      <c r="C68" s="33"/>
      <c r="D68" s="33"/>
      <c r="E68" s="33"/>
      <c r="F68" s="84"/>
      <c r="G68" s="84"/>
      <c r="H68" s="190"/>
      <c r="I68" s="33"/>
      <c r="J68" s="33"/>
      <c r="K68" s="33"/>
      <c r="L68" s="33"/>
      <c r="M68" s="33"/>
      <c r="N68" s="33"/>
      <c r="O68" s="33"/>
      <c r="P68" s="33"/>
      <c r="Q68" s="33"/>
      <c r="R68" s="33"/>
      <c r="S68" s="33"/>
      <c r="T68" s="33"/>
      <c r="U68" s="33"/>
      <c r="V68" s="33"/>
      <c r="W68" s="33"/>
      <c r="X68" s="33"/>
    </row>
    <row r="69" spans="1:24" ht="18" x14ac:dyDescent="0.25">
      <c r="B69" s="475"/>
      <c r="C69" s="33"/>
      <c r="D69" s="33"/>
      <c r="E69" s="33"/>
      <c r="F69" s="84"/>
      <c r="G69" s="84"/>
      <c r="H69" s="186"/>
      <c r="I69" s="33"/>
      <c r="J69" s="33"/>
      <c r="K69" s="33"/>
      <c r="L69" s="33"/>
      <c r="M69" s="33"/>
      <c r="N69" s="33"/>
      <c r="O69" s="33"/>
      <c r="P69" s="33"/>
      <c r="Q69" s="33"/>
      <c r="R69" s="33"/>
      <c r="S69" s="33"/>
      <c r="T69" s="33"/>
      <c r="U69" s="33"/>
      <c r="V69" s="33"/>
      <c r="W69" s="33"/>
      <c r="X69" s="33"/>
    </row>
    <row r="70" spans="1:24" ht="18" x14ac:dyDescent="0.25">
      <c r="B70" s="475"/>
      <c r="C70" s="33"/>
      <c r="D70" s="33"/>
      <c r="E70" s="33"/>
      <c r="F70" s="84"/>
      <c r="G70" s="84"/>
      <c r="H70" s="186"/>
      <c r="I70" s="33"/>
      <c r="J70" s="33"/>
      <c r="K70" s="33"/>
      <c r="L70" s="33"/>
      <c r="M70" s="33"/>
      <c r="N70" s="33"/>
      <c r="O70" s="33"/>
      <c r="P70" s="33"/>
      <c r="Q70" s="33"/>
      <c r="R70" s="33"/>
      <c r="S70" s="33"/>
      <c r="T70" s="33"/>
      <c r="U70" s="33"/>
      <c r="V70" s="33"/>
      <c r="W70" s="33"/>
      <c r="X70" s="33"/>
    </row>
    <row r="71" spans="1:24" ht="18" x14ac:dyDescent="0.25">
      <c r="B71" s="475"/>
      <c r="C71" s="33"/>
      <c r="D71" s="33"/>
      <c r="E71" s="33"/>
      <c r="F71" s="84"/>
      <c r="G71" s="84"/>
      <c r="H71" s="186"/>
      <c r="I71" s="33"/>
      <c r="J71" s="33"/>
      <c r="K71" s="33"/>
      <c r="L71" s="33"/>
      <c r="M71" s="33"/>
      <c r="N71" s="33"/>
      <c r="O71" s="33"/>
      <c r="P71" s="33"/>
      <c r="Q71" s="33"/>
      <c r="R71" s="33"/>
      <c r="S71" s="33"/>
      <c r="T71" s="33"/>
      <c r="U71" s="33"/>
      <c r="V71" s="33"/>
      <c r="W71" s="33"/>
      <c r="X71" s="33"/>
    </row>
    <row r="72" spans="1:24" ht="18" x14ac:dyDescent="0.25">
      <c r="B72" s="475"/>
      <c r="C72" s="33"/>
      <c r="D72" s="33"/>
      <c r="E72" s="33"/>
      <c r="F72" s="84"/>
      <c r="G72" s="84"/>
      <c r="H72" s="186"/>
      <c r="I72" s="33"/>
      <c r="J72" s="33"/>
      <c r="K72" s="33"/>
      <c r="L72" s="33"/>
      <c r="M72" s="33"/>
      <c r="N72" s="33"/>
      <c r="O72" s="33"/>
      <c r="P72" s="33"/>
      <c r="Q72" s="33"/>
      <c r="R72" s="33"/>
      <c r="S72" s="33"/>
      <c r="T72" s="33"/>
      <c r="U72" s="33"/>
      <c r="V72" s="33"/>
      <c r="W72" s="33"/>
      <c r="X72" s="33"/>
    </row>
    <row r="73" spans="1:24" ht="18" x14ac:dyDescent="0.25">
      <c r="B73" s="475"/>
      <c r="C73" s="33"/>
      <c r="D73" s="33"/>
      <c r="E73" s="33"/>
      <c r="F73" s="33"/>
      <c r="G73" s="33"/>
      <c r="H73" s="33"/>
      <c r="I73" s="33"/>
      <c r="J73" s="33"/>
      <c r="K73" s="33"/>
      <c r="L73" s="33"/>
      <c r="M73" s="33"/>
      <c r="N73" s="33"/>
      <c r="O73" s="33"/>
      <c r="P73" s="33"/>
      <c r="Q73" s="33"/>
      <c r="R73" s="33"/>
      <c r="S73" s="33"/>
      <c r="T73" s="33"/>
      <c r="U73" s="33"/>
      <c r="V73" s="33"/>
      <c r="W73" s="33"/>
      <c r="X73" s="33"/>
    </row>
    <row r="74" spans="1:24" ht="18" x14ac:dyDescent="0.25">
      <c r="B74" s="475"/>
      <c r="C74" s="33"/>
      <c r="D74" s="33"/>
      <c r="E74" s="33"/>
      <c r="F74" s="33"/>
      <c r="G74" s="33"/>
      <c r="H74" s="33"/>
      <c r="I74" s="33"/>
      <c r="J74" s="33"/>
      <c r="K74" s="33"/>
      <c r="L74" s="33"/>
      <c r="M74" s="33"/>
      <c r="N74" s="33"/>
      <c r="O74" s="33"/>
      <c r="P74" s="33"/>
      <c r="Q74" s="33"/>
      <c r="R74" s="33"/>
      <c r="S74" s="33"/>
      <c r="T74" s="33"/>
      <c r="U74" s="33"/>
      <c r="V74" s="33"/>
      <c r="W74" s="33"/>
      <c r="X74" s="33"/>
    </row>
    <row r="75" spans="1:24" ht="18" x14ac:dyDescent="0.25">
      <c r="B75" s="475"/>
      <c r="C75" s="33"/>
      <c r="D75" s="33"/>
      <c r="E75" s="33"/>
      <c r="F75" s="33"/>
      <c r="G75" s="33"/>
      <c r="H75" s="33"/>
      <c r="I75" s="33"/>
      <c r="J75" s="33"/>
      <c r="K75" s="33"/>
      <c r="L75" s="33"/>
      <c r="M75" s="33"/>
      <c r="N75" s="33"/>
      <c r="O75" s="33"/>
      <c r="P75" s="33"/>
      <c r="Q75" s="33"/>
      <c r="R75" s="33"/>
      <c r="S75" s="33"/>
      <c r="T75" s="33"/>
      <c r="U75" s="33"/>
      <c r="V75" s="33"/>
      <c r="W75" s="33"/>
      <c r="X75" s="33"/>
    </row>
    <row r="76" spans="1:24" ht="18" x14ac:dyDescent="0.25">
      <c r="B76" s="475"/>
      <c r="C76" s="33"/>
      <c r="D76" s="33"/>
      <c r="E76" s="33"/>
      <c r="F76" s="33"/>
      <c r="G76" s="33"/>
      <c r="H76" s="33"/>
      <c r="I76" s="33"/>
      <c r="J76" s="33"/>
      <c r="K76" s="33"/>
      <c r="L76" s="33"/>
      <c r="M76" s="33"/>
      <c r="N76" s="33"/>
      <c r="O76" s="33"/>
      <c r="P76" s="33"/>
      <c r="Q76" s="33"/>
      <c r="R76" s="33"/>
      <c r="S76" s="33"/>
      <c r="T76" s="33"/>
      <c r="U76" s="33"/>
      <c r="V76" s="33"/>
      <c r="W76" s="33"/>
      <c r="X76" s="33"/>
    </row>
    <row r="77" spans="1:24" ht="18" x14ac:dyDescent="0.25">
      <c r="B77" s="475"/>
      <c r="C77" s="33"/>
      <c r="D77" s="33"/>
      <c r="E77" s="33"/>
      <c r="F77" s="33"/>
      <c r="G77" s="33"/>
      <c r="H77" s="33"/>
      <c r="I77" s="33"/>
      <c r="J77" s="33"/>
      <c r="K77" s="33"/>
      <c r="L77" s="33"/>
      <c r="M77" s="33"/>
      <c r="N77" s="33"/>
      <c r="O77" s="33"/>
      <c r="P77" s="33"/>
      <c r="Q77" s="33"/>
      <c r="R77" s="33"/>
      <c r="S77" s="33"/>
      <c r="T77" s="33"/>
      <c r="U77" s="33"/>
      <c r="V77" s="33"/>
      <c r="W77" s="33"/>
      <c r="X77" s="33"/>
    </row>
    <row r="78" spans="1:24" ht="18" x14ac:dyDescent="0.25">
      <c r="B78" s="475"/>
      <c r="C78" s="33"/>
      <c r="D78" s="33"/>
      <c r="E78" s="33"/>
      <c r="F78" s="33"/>
      <c r="G78" s="33"/>
      <c r="H78" s="33"/>
      <c r="I78" s="33"/>
      <c r="J78" s="33"/>
      <c r="K78" s="33"/>
      <c r="L78" s="33"/>
      <c r="M78" s="33"/>
      <c r="N78" s="33"/>
      <c r="O78" s="33"/>
      <c r="P78" s="33"/>
      <c r="Q78" s="33"/>
      <c r="R78" s="33"/>
      <c r="S78" s="33"/>
      <c r="T78" s="33"/>
      <c r="U78" s="33"/>
      <c r="V78" s="33"/>
      <c r="W78" s="33"/>
      <c r="X78" s="33"/>
    </row>
    <row r="79" spans="1:24" ht="18" x14ac:dyDescent="0.25">
      <c r="B79" s="475"/>
      <c r="C79" s="33"/>
      <c r="D79" s="33"/>
      <c r="E79" s="33"/>
      <c r="F79" s="33"/>
      <c r="G79" s="33"/>
      <c r="H79" s="33"/>
      <c r="I79" s="33"/>
      <c r="J79" s="33"/>
      <c r="K79" s="33"/>
      <c r="L79" s="33"/>
      <c r="M79" s="33"/>
      <c r="N79" s="33"/>
      <c r="O79" s="33"/>
      <c r="P79" s="33"/>
      <c r="Q79" s="33"/>
      <c r="R79" s="33"/>
      <c r="S79" s="33"/>
      <c r="T79" s="33"/>
      <c r="U79" s="33"/>
      <c r="V79" s="33"/>
      <c r="W79" s="33"/>
      <c r="X79" s="33"/>
    </row>
    <row r="80" spans="1:24" ht="18" x14ac:dyDescent="0.25">
      <c r="B80" s="475"/>
      <c r="C80" s="33"/>
      <c r="D80" s="33"/>
      <c r="E80" s="33"/>
      <c r="F80" s="33"/>
      <c r="G80" s="33"/>
      <c r="H80" s="33"/>
      <c r="I80" s="33"/>
      <c r="J80" s="33"/>
      <c r="K80" s="33"/>
      <c r="L80" s="33"/>
      <c r="M80" s="33"/>
      <c r="N80" s="33"/>
      <c r="O80" s="33"/>
      <c r="P80" s="33"/>
      <c r="Q80" s="33"/>
      <c r="R80" s="33"/>
      <c r="S80" s="33"/>
      <c r="T80" s="33"/>
      <c r="U80" s="33"/>
      <c r="V80" s="33"/>
      <c r="W80" s="33"/>
      <c r="X80" s="33"/>
    </row>
    <row r="81" spans="1:24" ht="18" x14ac:dyDescent="0.25">
      <c r="B81" s="475"/>
      <c r="C81" s="33"/>
      <c r="D81" s="33"/>
      <c r="E81" s="33"/>
      <c r="F81" s="33"/>
      <c r="G81" s="33"/>
      <c r="H81" s="33"/>
      <c r="I81" s="33"/>
      <c r="J81" s="33"/>
      <c r="K81" s="33"/>
      <c r="L81" s="33"/>
      <c r="M81" s="33"/>
      <c r="N81" s="33"/>
      <c r="O81" s="33"/>
      <c r="P81" s="33"/>
      <c r="Q81" s="33"/>
      <c r="R81" s="33"/>
      <c r="S81" s="33"/>
      <c r="T81" s="33"/>
      <c r="U81" s="33"/>
      <c r="V81" s="33"/>
      <c r="W81" s="33"/>
      <c r="X81" s="33"/>
    </row>
    <row r="82" spans="1:24" ht="18" x14ac:dyDescent="0.25">
      <c r="B82" s="475"/>
      <c r="C82" s="33"/>
      <c r="D82" s="33"/>
      <c r="E82" s="33"/>
      <c r="F82" s="33"/>
      <c r="G82" s="33"/>
      <c r="H82" s="33"/>
      <c r="I82" s="33"/>
      <c r="J82" s="33"/>
      <c r="K82" s="33"/>
      <c r="L82" s="33"/>
      <c r="M82" s="33"/>
      <c r="N82" s="33"/>
      <c r="O82" s="33"/>
      <c r="P82" s="33"/>
      <c r="Q82" s="33"/>
      <c r="R82" s="33"/>
      <c r="S82" s="33"/>
      <c r="T82" s="33"/>
      <c r="U82" s="33"/>
      <c r="V82" s="33"/>
      <c r="W82" s="33"/>
      <c r="X82" s="33"/>
    </row>
    <row r="83" spans="1:24" x14ac:dyDescent="0.2">
      <c r="B83" s="485"/>
      <c r="E83" s="33"/>
      <c r="F83" s="33"/>
      <c r="G83" s="33"/>
      <c r="H83" s="33"/>
      <c r="I83" s="33"/>
      <c r="J83" s="33"/>
      <c r="K83" s="33"/>
      <c r="L83" s="33"/>
      <c r="M83" s="33"/>
      <c r="N83" s="33"/>
      <c r="O83" s="33"/>
      <c r="P83" s="33"/>
      <c r="Q83" s="33"/>
      <c r="R83" s="33"/>
      <c r="S83" s="33"/>
      <c r="T83" s="33"/>
      <c r="U83" s="33"/>
      <c r="V83" s="33"/>
      <c r="W83" s="33"/>
      <c r="X83" s="33"/>
    </row>
    <row r="84" spans="1:24" x14ac:dyDescent="0.2">
      <c r="B84" s="485"/>
      <c r="E84" s="33"/>
      <c r="F84" s="33"/>
      <c r="G84" s="33"/>
      <c r="H84" s="33"/>
      <c r="I84" s="33"/>
      <c r="J84" s="33"/>
      <c r="K84" s="33"/>
      <c r="L84" s="33"/>
      <c r="M84" s="33"/>
      <c r="N84" s="33"/>
      <c r="O84" s="33"/>
      <c r="P84" s="33"/>
      <c r="Q84" s="33"/>
      <c r="R84" s="33"/>
      <c r="S84" s="33"/>
      <c r="T84" s="33"/>
      <c r="U84" s="33"/>
      <c r="V84" s="33"/>
      <c r="W84" s="33"/>
      <c r="X84" s="33"/>
    </row>
    <row r="85" spans="1:24" ht="15.75" thickBot="1" x14ac:dyDescent="0.25">
      <c r="B85" s="485"/>
      <c r="F85" s="33"/>
      <c r="G85" s="33"/>
      <c r="H85" s="33"/>
      <c r="I85" s="33"/>
    </row>
    <row r="86" spans="1:24" ht="15.75" thickBot="1" x14ac:dyDescent="0.25">
      <c r="A86" s="57" t="s">
        <v>50</v>
      </c>
      <c r="B86" s="485"/>
      <c r="G86" s="33"/>
    </row>
    <row r="87" spans="1:24" x14ac:dyDescent="0.2">
      <c r="A87" s="58" t="s">
        <v>60</v>
      </c>
      <c r="B87" s="485"/>
    </row>
    <row r="88" spans="1:24" x14ac:dyDescent="0.2">
      <c r="A88" s="59"/>
      <c r="B88" s="485"/>
    </row>
    <row r="89" spans="1:24" x14ac:dyDescent="0.2">
      <c r="A89" s="59" t="s">
        <v>63</v>
      </c>
      <c r="B89" s="485"/>
    </row>
    <row r="90" spans="1:24" x14ac:dyDescent="0.2">
      <c r="A90" s="59"/>
      <c r="B90" s="485"/>
    </row>
    <row r="91" spans="1:24" x14ac:dyDescent="0.2">
      <c r="A91" s="59" t="s">
        <v>66</v>
      </c>
      <c r="B91" s="485"/>
    </row>
    <row r="92" spans="1:24" x14ac:dyDescent="0.2">
      <c r="A92" s="59"/>
      <c r="B92" s="485"/>
    </row>
    <row r="93" spans="1:24" x14ac:dyDescent="0.2">
      <c r="A93" s="59" t="s">
        <v>69</v>
      </c>
      <c r="B93" s="485"/>
    </row>
    <row r="94" spans="1:24" x14ac:dyDescent="0.2">
      <c r="A94" s="59" t="s">
        <v>22</v>
      </c>
      <c r="B94" s="485"/>
    </row>
    <row r="95" spans="1:24" x14ac:dyDescent="0.2">
      <c r="A95" s="59" t="s">
        <v>72</v>
      </c>
      <c r="B95" s="485"/>
    </row>
    <row r="96" spans="1:24" x14ac:dyDescent="0.2">
      <c r="B96" s="485"/>
    </row>
    <row r="97" spans="2:2" x14ac:dyDescent="0.2">
      <c r="B97" s="485"/>
    </row>
    <row r="98" spans="2:2" x14ac:dyDescent="0.2">
      <c r="B98" s="485"/>
    </row>
    <row r="99" spans="2:2" x14ac:dyDescent="0.2">
      <c r="B99" s="485"/>
    </row>
    <row r="100" spans="2:2" x14ac:dyDescent="0.2">
      <c r="B100" s="485"/>
    </row>
  </sheetData>
  <mergeCells count="2">
    <mergeCell ref="A9:A10"/>
    <mergeCell ref="A36:A37"/>
  </mergeCells>
  <printOptions horizontalCentered="1"/>
  <pageMargins left="0.59" right="0.46" top="1" bottom="1" header="0.5" footer="0.25"/>
  <pageSetup scale="79" orientation="portrait" r:id="rId1"/>
  <headerFooter alignWithMargins="0">
    <oddHeader>&amp;R&amp;14Exhibit B</oddHead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pageSetUpPr fitToPage="1"/>
  </sheetPr>
  <dimension ref="A1:BN114"/>
  <sheetViews>
    <sheetView zoomScaleNormal="100" workbookViewId="0">
      <selection activeCell="AA31" sqref="AA31"/>
    </sheetView>
  </sheetViews>
  <sheetFormatPr defaultColWidth="8.88671875" defaultRowHeight="15" x14ac:dyDescent="0.2"/>
  <cols>
    <col min="1" max="1" width="40.6640625" style="74" customWidth="1"/>
    <col min="2" max="15" width="8.77734375" style="74" hidden="1" customWidth="1"/>
    <col min="16" max="17" width="15.77734375" style="74" hidden="1" customWidth="1"/>
    <col min="18" max="18" width="14.109375" style="74" hidden="1" customWidth="1"/>
    <col min="19" max="19" width="13.33203125" style="74" hidden="1" customWidth="1"/>
    <col min="20" max="20" width="14.6640625" style="74" hidden="1" customWidth="1"/>
    <col min="21" max="21" width="13.33203125" style="74" hidden="1" customWidth="1"/>
    <col min="22" max="25" width="13.77734375" style="74" hidden="1" customWidth="1"/>
    <col min="26" max="26" width="0.88671875" style="74" customWidth="1"/>
    <col min="27" max="27" width="19" style="74" customWidth="1"/>
    <col min="28" max="28" width="0.88671875" style="74" customWidth="1"/>
    <col min="29" max="29" width="20.77734375" style="74" customWidth="1"/>
    <col min="30" max="30" width="0.88671875" style="74" customWidth="1"/>
    <col min="31" max="31" width="21.88671875" style="74" customWidth="1"/>
    <col min="32" max="33" width="13.77734375" style="74" customWidth="1"/>
    <col min="34" max="34" width="14.109375" style="74" customWidth="1"/>
    <col min="35" max="35" width="13.88671875" style="74" customWidth="1"/>
    <col min="36" max="36" width="16.33203125" style="74" customWidth="1"/>
    <col min="37" max="37" width="14.77734375" style="74" customWidth="1"/>
    <col min="38" max="51" width="9.6640625" style="74" customWidth="1"/>
    <col min="52" max="16384" width="8.88671875" style="74"/>
  </cols>
  <sheetData>
    <row r="1" spans="1:66" s="10" customFormat="1" ht="30" customHeight="1" x14ac:dyDescent="0.4">
      <c r="A1" s="533" t="s">
        <v>0</v>
      </c>
      <c r="B1" s="534"/>
      <c r="C1" s="534"/>
      <c r="D1" s="534"/>
      <c r="E1" s="534"/>
      <c r="F1" s="534"/>
      <c r="G1" s="534"/>
      <c r="H1" s="534"/>
      <c r="I1" s="534"/>
      <c r="J1" s="534"/>
      <c r="K1" s="534"/>
      <c r="L1" s="534"/>
      <c r="M1" s="534"/>
      <c r="N1" s="534"/>
      <c r="O1" s="534"/>
      <c r="P1" s="534"/>
      <c r="Q1" s="534"/>
      <c r="R1" s="534"/>
      <c r="S1" s="535"/>
      <c r="T1" s="533"/>
      <c r="U1" s="535"/>
      <c r="V1" s="536"/>
      <c r="W1" s="536"/>
      <c r="X1" s="536"/>
      <c r="Y1" s="536"/>
      <c r="Z1" s="341"/>
      <c r="AA1" s="294"/>
      <c r="AB1" s="341"/>
      <c r="AC1" s="537"/>
      <c r="AD1" s="341"/>
      <c r="AE1" s="538"/>
      <c r="AF1" s="9"/>
      <c r="AG1" s="9"/>
      <c r="AH1" s="9"/>
      <c r="AI1" s="9"/>
      <c r="AJ1" s="9"/>
      <c r="AK1" s="9"/>
      <c r="AL1" s="9"/>
      <c r="AM1" s="9"/>
      <c r="AN1" s="9"/>
      <c r="AO1" s="9"/>
      <c r="AP1" s="9"/>
      <c r="AQ1" s="9"/>
      <c r="AR1" s="9"/>
      <c r="AS1" s="9"/>
      <c r="AT1" s="9"/>
      <c r="AU1" s="9"/>
      <c r="AV1" s="9"/>
      <c r="AW1" s="9"/>
      <c r="AX1" s="9"/>
      <c r="AY1" s="9"/>
    </row>
    <row r="2" spans="1:66" s="16" customFormat="1" ht="24.95" customHeight="1" x14ac:dyDescent="0.35">
      <c r="A2" s="539" t="s">
        <v>82</v>
      </c>
      <c r="B2" s="540"/>
      <c r="C2" s="540"/>
      <c r="D2" s="540"/>
      <c r="E2" s="540"/>
      <c r="F2" s="540"/>
      <c r="G2" s="540"/>
      <c r="H2" s="540"/>
      <c r="I2" s="540"/>
      <c r="J2" s="540"/>
      <c r="K2" s="540"/>
      <c r="L2" s="540"/>
      <c r="M2" s="540"/>
      <c r="N2" s="540"/>
      <c r="O2" s="540"/>
      <c r="P2" s="540"/>
      <c r="Q2" s="540"/>
      <c r="R2" s="540"/>
      <c r="S2" s="541"/>
      <c r="T2" s="539"/>
      <c r="U2" s="541"/>
      <c r="V2" s="539"/>
      <c r="W2" s="539"/>
      <c r="X2" s="539"/>
      <c r="Y2" s="539"/>
      <c r="Z2" s="344"/>
      <c r="AA2" s="539"/>
      <c r="AB2" s="344"/>
      <c r="AC2" s="541"/>
      <c r="AD2" s="344"/>
      <c r="AE2" s="541"/>
      <c r="AF2" s="15"/>
      <c r="AG2" s="15"/>
      <c r="AH2" s="15"/>
      <c r="AI2" s="15"/>
      <c r="AJ2" s="15"/>
      <c r="AK2" s="15"/>
      <c r="AL2" s="15"/>
      <c r="AM2" s="15"/>
      <c r="AN2" s="15"/>
      <c r="AO2" s="15"/>
      <c r="AP2" s="15"/>
      <c r="AQ2" s="15"/>
      <c r="AR2" s="15"/>
      <c r="AS2" s="15"/>
      <c r="AT2" s="15"/>
      <c r="AU2" s="15"/>
      <c r="AV2" s="15"/>
      <c r="AW2" s="15"/>
      <c r="AX2" s="15"/>
      <c r="AY2" s="15"/>
    </row>
    <row r="3" spans="1:66" s="23" customFormat="1" ht="14.25" customHeight="1" x14ac:dyDescent="0.4">
      <c r="A3" s="542"/>
      <c r="B3" s="543"/>
      <c r="C3" s="543"/>
      <c r="D3" s="543"/>
      <c r="E3" s="543"/>
      <c r="F3" s="543"/>
      <c r="G3" s="543"/>
      <c r="H3" s="543"/>
      <c r="I3" s="543"/>
      <c r="J3" s="543"/>
      <c r="K3" s="543"/>
      <c r="L3" s="543"/>
      <c r="M3" s="543"/>
      <c r="N3" s="543"/>
      <c r="O3" s="543"/>
      <c r="P3" s="543"/>
      <c r="Q3" s="543"/>
      <c r="R3" s="543"/>
      <c r="S3" s="544"/>
      <c r="T3" s="545"/>
      <c r="U3" s="544"/>
      <c r="V3" s="545"/>
      <c r="W3" s="545"/>
      <c r="X3" s="545"/>
      <c r="Y3" s="545"/>
      <c r="Z3" s="350"/>
      <c r="AA3" s="545"/>
      <c r="AB3" s="350"/>
      <c r="AC3" s="544"/>
      <c r="AD3" s="350"/>
      <c r="AE3" s="544"/>
      <c r="AF3" s="22"/>
      <c r="AG3" s="22"/>
      <c r="AH3" s="22"/>
      <c r="AI3" s="22"/>
      <c r="AJ3" s="22"/>
      <c r="AK3" s="22"/>
      <c r="AL3" s="22"/>
      <c r="AM3" s="22"/>
      <c r="AN3" s="22"/>
      <c r="AO3" s="22"/>
      <c r="AP3" s="22"/>
      <c r="AQ3" s="22"/>
      <c r="AR3" s="22"/>
      <c r="AS3" s="22"/>
      <c r="AT3" s="22"/>
      <c r="AU3" s="22"/>
      <c r="AV3" s="22"/>
      <c r="AW3" s="22"/>
      <c r="AX3" s="22"/>
      <c r="AY3" s="22"/>
    </row>
    <row r="4" spans="1:66" s="29" customFormat="1" ht="20.25" customHeight="1" x14ac:dyDescent="0.3">
      <c r="A4" s="354" t="s">
        <v>204</v>
      </c>
      <c r="B4" s="355"/>
      <c r="C4" s="355"/>
      <c r="D4" s="355"/>
      <c r="E4" s="355"/>
      <c r="F4" s="355"/>
      <c r="G4" s="355"/>
      <c r="H4" s="355"/>
      <c r="I4" s="355"/>
      <c r="J4" s="355"/>
      <c r="K4" s="355"/>
      <c r="L4" s="355"/>
      <c r="M4" s="355"/>
      <c r="N4" s="355"/>
      <c r="O4" s="355"/>
      <c r="P4" s="355"/>
      <c r="Q4" s="355"/>
      <c r="R4" s="355"/>
      <c r="S4" s="356"/>
      <c r="T4" s="301"/>
      <c r="U4" s="356"/>
      <c r="V4" s="301"/>
      <c r="W4" s="301"/>
      <c r="X4" s="301"/>
      <c r="Y4" s="301"/>
      <c r="Z4" s="63"/>
      <c r="AA4" s="301"/>
      <c r="AB4" s="63"/>
      <c r="AC4" s="356"/>
      <c r="AD4" s="63"/>
      <c r="AE4" s="356"/>
      <c r="AF4" s="28"/>
      <c r="AG4" s="28"/>
      <c r="AH4" s="28"/>
      <c r="AI4" s="28"/>
      <c r="AJ4" s="28"/>
      <c r="AK4" s="28"/>
      <c r="AL4" s="28"/>
      <c r="AM4" s="28"/>
      <c r="AN4" s="28"/>
      <c r="AO4" s="28"/>
      <c r="AP4" s="28"/>
      <c r="AQ4" s="28"/>
      <c r="AR4" s="28"/>
      <c r="AS4" s="28"/>
      <c r="AT4" s="28"/>
      <c r="AU4" s="28"/>
      <c r="AV4" s="28"/>
      <c r="AW4" s="28"/>
      <c r="AX4" s="28"/>
      <c r="AY4" s="28"/>
    </row>
    <row r="5" spans="1:66" s="29" customFormat="1" ht="20.25" customHeight="1" x14ac:dyDescent="0.3">
      <c r="A5" s="354" t="s">
        <v>7</v>
      </c>
      <c r="B5" s="355"/>
      <c r="C5" s="355"/>
      <c r="D5" s="355"/>
      <c r="E5" s="355"/>
      <c r="F5" s="355"/>
      <c r="G5" s="355"/>
      <c r="H5" s="355"/>
      <c r="I5" s="355"/>
      <c r="J5" s="355"/>
      <c r="K5" s="355"/>
      <c r="L5" s="355"/>
      <c r="M5" s="355"/>
      <c r="N5" s="355"/>
      <c r="O5" s="355"/>
      <c r="P5" s="355"/>
      <c r="Q5" s="355"/>
      <c r="R5" s="355"/>
      <c r="S5" s="356"/>
      <c r="T5" s="301"/>
      <c r="U5" s="356"/>
      <c r="V5" s="301"/>
      <c r="W5" s="301"/>
      <c r="X5" s="301"/>
      <c r="Y5" s="301"/>
      <c r="Z5" s="63"/>
      <c r="AA5" s="301"/>
      <c r="AB5" s="63"/>
      <c r="AC5" s="356"/>
      <c r="AD5" s="63"/>
      <c r="AE5" s="356"/>
      <c r="AF5" s="28"/>
      <c r="AG5" s="28"/>
      <c r="AH5" s="28"/>
      <c r="AI5" s="28"/>
      <c r="AJ5" s="28"/>
      <c r="AK5" s="28"/>
      <c r="AL5" s="28"/>
      <c r="AM5" s="28"/>
      <c r="AN5" s="28"/>
      <c r="AO5" s="28"/>
      <c r="AP5" s="28"/>
      <c r="AQ5" s="28"/>
      <c r="AR5" s="28"/>
      <c r="AS5" s="28"/>
      <c r="AT5" s="28"/>
      <c r="AU5" s="28"/>
      <c r="AV5" s="28"/>
      <c r="AW5" s="28"/>
      <c r="AX5" s="28"/>
      <c r="AY5" s="28"/>
    </row>
    <row r="6" spans="1:66" ht="18" x14ac:dyDescent="0.25">
      <c r="A6" s="301"/>
      <c r="B6" s="517"/>
      <c r="C6" s="517"/>
      <c r="D6" s="517"/>
      <c r="E6" s="517"/>
      <c r="F6" s="517"/>
      <c r="G6" s="517"/>
      <c r="H6" s="517"/>
      <c r="I6" s="517"/>
      <c r="J6" s="517"/>
      <c r="K6" s="517"/>
      <c r="L6" s="517"/>
      <c r="M6" s="517"/>
      <c r="N6" s="517"/>
      <c r="O6" s="517"/>
      <c r="P6" s="517"/>
      <c r="Q6" s="517"/>
      <c r="R6" s="517"/>
      <c r="S6" s="518"/>
      <c r="T6" s="301"/>
      <c r="U6" s="518"/>
      <c r="V6" s="301"/>
      <c r="W6" s="301"/>
      <c r="X6" s="301"/>
      <c r="Y6" s="301"/>
      <c r="Z6" s="301"/>
      <c r="AA6" s="301"/>
      <c r="AB6" s="301"/>
      <c r="AC6" s="518"/>
      <c r="AD6" s="301"/>
      <c r="AE6" s="518"/>
      <c r="AF6" s="33"/>
      <c r="AG6" s="33"/>
      <c r="AH6" s="33"/>
      <c r="AI6" s="33"/>
      <c r="AJ6" s="33"/>
      <c r="AK6" s="33"/>
      <c r="AL6" s="33"/>
      <c r="AM6" s="33"/>
      <c r="AN6" s="33"/>
      <c r="AO6" s="33"/>
      <c r="AP6" s="33"/>
      <c r="AQ6" s="33"/>
      <c r="AR6" s="33"/>
      <c r="AS6" s="33"/>
      <c r="AT6" s="33"/>
      <c r="AU6" s="33"/>
      <c r="AV6" s="33"/>
      <c r="AW6" s="33"/>
      <c r="AX6" s="33"/>
      <c r="AY6" s="33"/>
    </row>
    <row r="7" spans="1:66" s="36" customFormat="1" ht="20.25" customHeight="1" x14ac:dyDescent="0.3">
      <c r="A7" s="357" t="s">
        <v>8</v>
      </c>
      <c r="B7" s="355"/>
      <c r="C7" s="355"/>
      <c r="D7" s="355"/>
      <c r="E7" s="355"/>
      <c r="F7" s="355"/>
      <c r="G7" s="355"/>
      <c r="H7" s="355"/>
      <c r="I7" s="355"/>
      <c r="J7" s="355"/>
      <c r="K7" s="355"/>
      <c r="L7" s="355"/>
      <c r="M7" s="355"/>
      <c r="N7" s="355"/>
      <c r="O7" s="355"/>
      <c r="P7" s="355"/>
      <c r="Q7" s="355"/>
      <c r="R7" s="355"/>
      <c r="S7" s="356"/>
      <c r="T7" s="301"/>
      <c r="U7" s="356"/>
      <c r="V7" s="301"/>
      <c r="W7" s="301"/>
      <c r="X7" s="301"/>
      <c r="Y7" s="301"/>
      <c r="Z7" s="301"/>
      <c r="AA7" s="301"/>
      <c r="AB7" s="301"/>
      <c r="AC7" s="356"/>
      <c r="AD7" s="301"/>
      <c r="AE7" s="356"/>
      <c r="AF7" s="28"/>
      <c r="AG7" s="28"/>
      <c r="AH7" s="28"/>
      <c r="AI7" s="28"/>
      <c r="AJ7" s="28"/>
      <c r="AK7" s="28"/>
      <c r="AL7" s="28"/>
      <c r="AM7" s="28"/>
      <c r="AN7" s="28"/>
      <c r="AO7" s="28"/>
      <c r="AP7" s="28"/>
      <c r="AQ7" s="28"/>
      <c r="AR7" s="28"/>
      <c r="AS7" s="28"/>
      <c r="AT7" s="35"/>
      <c r="AU7" s="35"/>
      <c r="AV7" s="35"/>
      <c r="AW7" s="35"/>
      <c r="AX7" s="35"/>
      <c r="AY7" s="35"/>
    </row>
    <row r="8" spans="1:66" ht="18.75" thickBot="1" x14ac:dyDescent="0.3">
      <c r="A8" s="532"/>
      <c r="B8" s="532"/>
      <c r="C8" s="532"/>
      <c r="D8" s="532"/>
      <c r="E8" s="361"/>
      <c r="F8" s="532"/>
      <c r="G8" s="532"/>
      <c r="H8" s="532"/>
      <c r="I8" s="532"/>
      <c r="J8" s="532"/>
      <c r="K8" s="412"/>
      <c r="L8" s="412"/>
      <c r="M8" s="412"/>
      <c r="N8" s="412"/>
      <c r="O8" s="412"/>
      <c r="P8" s="412"/>
      <c r="Q8" s="412"/>
      <c r="R8" s="412"/>
      <c r="S8" s="412"/>
      <c r="T8" s="361"/>
      <c r="U8" s="412"/>
      <c r="V8" s="361"/>
      <c r="W8" s="361"/>
      <c r="X8" s="361"/>
      <c r="Y8" s="361"/>
      <c r="Z8" s="361"/>
      <c r="AA8" s="361"/>
      <c r="AB8" s="361"/>
      <c r="AC8" s="412"/>
      <c r="AD8" s="361"/>
      <c r="AE8" s="412"/>
      <c r="AF8" s="33"/>
      <c r="AG8" s="33"/>
      <c r="AH8" s="33"/>
      <c r="AI8" s="33"/>
      <c r="AJ8" s="33"/>
      <c r="AK8" s="33"/>
      <c r="AL8" s="33"/>
      <c r="AM8" s="33"/>
      <c r="AN8" s="33"/>
      <c r="AO8" s="33"/>
      <c r="AP8" s="33"/>
      <c r="AQ8" s="33"/>
      <c r="AR8" s="33"/>
      <c r="AS8" s="33"/>
      <c r="AT8" s="33"/>
      <c r="AU8" s="33"/>
      <c r="AV8" s="33"/>
      <c r="AW8" s="33"/>
      <c r="AX8" s="33"/>
      <c r="AY8" s="33"/>
    </row>
    <row r="9" spans="1:66" s="47" customFormat="1" ht="18.95" customHeight="1" x14ac:dyDescent="0.25">
      <c r="A9" s="546"/>
      <c r="B9" s="547"/>
      <c r="C9" s="548"/>
      <c r="D9" s="547"/>
      <c r="E9" s="548"/>
      <c r="F9" s="547"/>
      <c r="G9" s="548"/>
      <c r="H9" s="547"/>
      <c r="I9" s="548"/>
      <c r="J9" s="547"/>
      <c r="K9" s="548"/>
      <c r="L9" s="547"/>
      <c r="M9" s="548"/>
      <c r="N9" s="547"/>
      <c r="O9" s="548"/>
      <c r="P9" s="547"/>
      <c r="Q9" s="548"/>
      <c r="R9" s="549" t="s">
        <v>9</v>
      </c>
      <c r="S9" s="550" t="s">
        <v>10</v>
      </c>
      <c r="T9" s="551" t="s">
        <v>9</v>
      </c>
      <c r="U9" s="552" t="s">
        <v>11</v>
      </c>
      <c r="V9" s="551" t="s">
        <v>9</v>
      </c>
      <c r="W9" s="550" t="s">
        <v>12</v>
      </c>
      <c r="X9" s="549" t="s">
        <v>9</v>
      </c>
      <c r="Y9" s="552" t="s">
        <v>13</v>
      </c>
      <c r="Z9" s="369"/>
      <c r="AA9" s="553" t="s">
        <v>14</v>
      </c>
      <c r="AB9" s="369"/>
      <c r="AC9" s="553" t="s">
        <v>15</v>
      </c>
      <c r="AD9" s="369"/>
      <c r="AE9" s="553" t="s">
        <v>16</v>
      </c>
      <c r="AF9" s="28"/>
      <c r="AG9" s="28"/>
      <c r="AH9" s="28"/>
      <c r="AI9" s="28"/>
      <c r="AJ9" s="28"/>
      <c r="AK9" s="28"/>
      <c r="AL9" s="28"/>
      <c r="AM9" s="28"/>
      <c r="AN9" s="28"/>
      <c r="AO9" s="28"/>
      <c r="AP9" s="28"/>
      <c r="AQ9" s="28"/>
      <c r="AR9" s="28"/>
      <c r="AS9" s="28"/>
      <c r="AT9" s="28"/>
      <c r="AU9" s="28"/>
      <c r="AV9" s="28"/>
      <c r="AW9" s="28"/>
      <c r="AX9" s="28"/>
      <c r="AY9" s="28"/>
    </row>
    <row r="10" spans="1:66" s="47" customFormat="1" ht="18.95" customHeight="1" thickBot="1" x14ac:dyDescent="0.3">
      <c r="A10" s="554" t="s">
        <v>17</v>
      </c>
      <c r="B10" s="555" t="s">
        <v>9</v>
      </c>
      <c r="C10" s="556" t="s">
        <v>18</v>
      </c>
      <c r="D10" s="555" t="s">
        <v>9</v>
      </c>
      <c r="E10" s="556" t="s">
        <v>18</v>
      </c>
      <c r="F10" s="555" t="s">
        <v>9</v>
      </c>
      <c r="G10" s="556" t="s">
        <v>18</v>
      </c>
      <c r="H10" s="555" t="s">
        <v>9</v>
      </c>
      <c r="I10" s="556" t="s">
        <v>18</v>
      </c>
      <c r="J10" s="555" t="s">
        <v>9</v>
      </c>
      <c r="K10" s="556" t="s">
        <v>18</v>
      </c>
      <c r="L10" s="555" t="s">
        <v>9</v>
      </c>
      <c r="M10" s="556" t="s">
        <v>18</v>
      </c>
      <c r="N10" s="555" t="s">
        <v>9</v>
      </c>
      <c r="O10" s="556" t="s">
        <v>18</v>
      </c>
      <c r="P10" s="555" t="s">
        <v>9</v>
      </c>
      <c r="Q10" s="556" t="s">
        <v>18</v>
      </c>
      <c r="R10" s="557" t="s">
        <v>19</v>
      </c>
      <c r="S10" s="510" t="s">
        <v>18</v>
      </c>
      <c r="T10" s="558" t="s">
        <v>19</v>
      </c>
      <c r="U10" s="559" t="s">
        <v>18</v>
      </c>
      <c r="V10" s="558" t="s">
        <v>19</v>
      </c>
      <c r="W10" s="510" t="s">
        <v>18</v>
      </c>
      <c r="X10" s="557" t="s">
        <v>19</v>
      </c>
      <c r="Y10" s="559" t="s">
        <v>20</v>
      </c>
      <c r="Z10" s="378"/>
      <c r="AA10" s="560" t="s">
        <v>9</v>
      </c>
      <c r="AB10" s="378"/>
      <c r="AC10" s="560" t="s">
        <v>21</v>
      </c>
      <c r="AD10" s="378"/>
      <c r="AE10" s="560" t="s">
        <v>9</v>
      </c>
      <c r="AF10" s="55"/>
      <c r="AG10" s="55"/>
      <c r="AH10" s="55"/>
      <c r="AI10" s="55"/>
      <c r="AJ10" s="55"/>
      <c r="AK10" s="55"/>
      <c r="AL10" s="55"/>
      <c r="AM10" s="55"/>
      <c r="AN10" s="55"/>
      <c r="AO10" s="55"/>
      <c r="AP10" s="55"/>
      <c r="AQ10" s="55"/>
      <c r="AR10" s="55"/>
      <c r="AS10" s="55"/>
      <c r="AT10" s="55"/>
      <c r="AU10" s="55"/>
      <c r="AV10" s="55"/>
      <c r="AW10" s="55"/>
      <c r="AX10" s="55"/>
      <c r="AY10" s="55"/>
      <c r="AZ10" s="56"/>
      <c r="BA10" s="56"/>
      <c r="BB10" s="56"/>
      <c r="BC10" s="56"/>
      <c r="BD10" s="56"/>
      <c r="BE10" s="56"/>
      <c r="BF10" s="56"/>
      <c r="BG10" s="56"/>
      <c r="BH10" s="56"/>
      <c r="BI10" s="56"/>
      <c r="BJ10" s="56"/>
      <c r="BK10" s="56"/>
      <c r="BL10" s="56"/>
      <c r="BM10" s="56"/>
      <c r="BN10" s="56"/>
    </row>
    <row r="11" spans="1:66" ht="18" hidden="1" x14ac:dyDescent="0.25">
      <c r="A11" s="326"/>
      <c r="B11" s="295"/>
      <c r="C11" s="296"/>
      <c r="D11" s="295"/>
      <c r="E11" s="296"/>
      <c r="F11" s="295"/>
      <c r="G11" s="296"/>
      <c r="H11" s="295"/>
      <c r="I11" s="296"/>
      <c r="J11" s="295"/>
      <c r="K11" s="296"/>
      <c r="L11" s="295"/>
      <c r="M11" s="296"/>
      <c r="N11" s="295"/>
      <c r="O11" s="296"/>
      <c r="P11" s="295"/>
      <c r="Q11" s="296"/>
      <c r="R11" s="297"/>
      <c r="S11" s="298"/>
      <c r="T11" s="299"/>
      <c r="U11" s="300"/>
      <c r="V11" s="299"/>
      <c r="W11" s="298"/>
      <c r="X11" s="301"/>
      <c r="Y11" s="300"/>
      <c r="Z11" s="324"/>
      <c r="AA11" s="302"/>
      <c r="AB11" s="324"/>
      <c r="AC11" s="302"/>
      <c r="AD11" s="324"/>
      <c r="AE11" s="302"/>
      <c r="AF11" s="33"/>
      <c r="AG11" s="33"/>
      <c r="AH11" s="33"/>
      <c r="AI11" s="33"/>
      <c r="AJ11" s="33"/>
      <c r="AK11" s="33"/>
      <c r="AL11" s="33"/>
      <c r="AM11" s="33"/>
      <c r="AN11" s="33"/>
      <c r="AO11" s="33"/>
      <c r="AP11" s="33"/>
      <c r="AQ11" s="33"/>
      <c r="AR11" s="33"/>
      <c r="AS11" s="33"/>
      <c r="AT11" s="33"/>
      <c r="AU11" s="33"/>
      <c r="AV11" s="33"/>
      <c r="AW11" s="33"/>
      <c r="AX11" s="33"/>
      <c r="AY11" s="33"/>
    </row>
    <row r="12" spans="1:66" x14ac:dyDescent="0.2">
      <c r="A12" s="513" t="s">
        <v>73</v>
      </c>
      <c r="B12" s="415" t="s">
        <v>22</v>
      </c>
      <c r="C12" s="436">
        <f>20000000-80000</f>
        <v>19920000</v>
      </c>
      <c r="D12" s="561">
        <v>19500000</v>
      </c>
      <c r="E12" s="436" t="e">
        <f>#REF!</f>
        <v>#REF!</v>
      </c>
      <c r="F12" s="561" t="e">
        <f>#REF!</f>
        <v>#REF!</v>
      </c>
      <c r="G12" s="436">
        <v>19806530.539999999</v>
      </c>
      <c r="H12" s="561">
        <v>7405431</v>
      </c>
      <c r="I12" s="436" t="e">
        <f>#REF!</f>
        <v>#REF!</v>
      </c>
      <c r="J12" s="561">
        <v>14588336</v>
      </c>
      <c r="K12" s="436" t="e">
        <f>#REF!</f>
        <v>#REF!</v>
      </c>
      <c r="L12" s="562" t="e">
        <f>#REF!</f>
        <v>#REF!</v>
      </c>
      <c r="M12" s="563" t="e">
        <f>#REF!</f>
        <v>#REF!</v>
      </c>
      <c r="N12" s="561" t="e">
        <f>#REF!</f>
        <v>#REF!</v>
      </c>
      <c r="O12" s="436" t="e">
        <f>+#REF!</f>
        <v>#REF!</v>
      </c>
      <c r="P12" s="561" t="e">
        <f>#REF!</f>
        <v>#REF!</v>
      </c>
      <c r="Q12" s="436" t="e">
        <f>+#REF!</f>
        <v>#REF!</v>
      </c>
      <c r="R12" s="561" t="e">
        <f>#REF!</f>
        <v>#REF!</v>
      </c>
      <c r="S12" s="417" t="e">
        <f>+#REF!</f>
        <v>#REF!</v>
      </c>
      <c r="T12" s="416" t="e">
        <f>+#REF!</f>
        <v>#REF!</v>
      </c>
      <c r="U12" s="415" t="e">
        <f>+#REF!</f>
        <v>#REF!</v>
      </c>
      <c r="V12" s="416" t="e">
        <f>+#REF!</f>
        <v>#REF!</v>
      </c>
      <c r="W12" s="417" t="e">
        <f>+#REF!</f>
        <v>#REF!</v>
      </c>
      <c r="X12" s="418">
        <v>26036150</v>
      </c>
      <c r="Y12" s="415" t="e">
        <f>+#REF!</f>
        <v>#REF!</v>
      </c>
      <c r="Z12" s="397"/>
      <c r="AA12" s="500">
        <v>6590868</v>
      </c>
      <c r="AB12" s="564"/>
      <c r="AC12" s="500">
        <v>-1000000</v>
      </c>
      <c r="AD12" s="564"/>
      <c r="AE12" s="500">
        <f>+AA12+AC12</f>
        <v>5590868</v>
      </c>
      <c r="AF12" s="33"/>
      <c r="AG12" s="33"/>
      <c r="AH12" s="33"/>
      <c r="AI12" s="33"/>
      <c r="AJ12" s="33"/>
      <c r="AK12" s="33"/>
      <c r="AL12" s="33"/>
      <c r="AM12" s="33"/>
      <c r="AN12" s="33"/>
      <c r="AO12" s="33"/>
      <c r="AP12" s="33"/>
      <c r="AQ12" s="33"/>
      <c r="AR12" s="33"/>
      <c r="AS12" s="33"/>
      <c r="AT12" s="33"/>
      <c r="AU12" s="33"/>
      <c r="AV12" s="33"/>
      <c r="AW12" s="33"/>
      <c r="AX12" s="33"/>
      <c r="AY12" s="33"/>
    </row>
    <row r="13" spans="1:66" ht="15.75" thickBot="1" x14ac:dyDescent="0.25">
      <c r="A13" s="513" t="s">
        <v>167</v>
      </c>
      <c r="B13" s="303" t="s">
        <v>22</v>
      </c>
      <c r="C13" s="411">
        <v>165375.34</v>
      </c>
      <c r="D13" s="297">
        <f>1000000+0.04</f>
        <v>1000000.04</v>
      </c>
      <c r="E13" s="411">
        <f>1157088.64+61050.49</f>
        <v>1218139.1299999999</v>
      </c>
      <c r="F13" s="297">
        <v>75500</v>
      </c>
      <c r="G13" s="411">
        <f>726102.21+204023.17</f>
        <v>930125.38</v>
      </c>
      <c r="H13" s="297">
        <v>900000</v>
      </c>
      <c r="I13" s="411">
        <f>236269.92+237856.34+41149.39+36171.85+31885.22+23714.42</f>
        <v>607047.14</v>
      </c>
      <c r="J13" s="297">
        <v>900000</v>
      </c>
      <c r="K13" s="411">
        <f>60155.32+16337.56+48719.72+401007.58+51855.01+12127.19+29250.04+19166.82+29964.68</f>
        <v>668583.92000000004</v>
      </c>
      <c r="L13" s="297">
        <v>299157.59999999998</v>
      </c>
      <c r="M13" s="411">
        <f>13962.47+106302.13+297853.05+2661.51+26166.4</f>
        <v>446945.56000000006</v>
      </c>
      <c r="N13" s="297">
        <f>R97*0.0567</f>
        <v>0</v>
      </c>
      <c r="O13" s="411">
        <f>334658.04+95650.66+15702.95</f>
        <v>446011.64999999997</v>
      </c>
      <c r="P13" s="431">
        <f>(+R97-1500000)*0.0542*365/365</f>
        <v>-81300</v>
      </c>
      <c r="Q13" s="411">
        <f>254514.48+17062.62+661.7</f>
        <v>272238.80000000005</v>
      </c>
      <c r="R13" s="297">
        <f>10349521.92*0.0185</f>
        <v>191466.15552</v>
      </c>
      <c r="S13" s="432">
        <f>22918.8+150855.34+595.04</f>
        <v>174369.18</v>
      </c>
      <c r="T13" s="433">
        <v>120292</v>
      </c>
      <c r="U13" s="303">
        <f>332270.5+1478.13+150403.78</f>
        <v>484152.41000000003</v>
      </c>
      <c r="V13" s="433">
        <v>217189.31</v>
      </c>
      <c r="W13" s="432">
        <f>646672.45+41998.12+225134.73+2184.94</f>
        <v>915990.23999999987</v>
      </c>
      <c r="X13" s="565">
        <v>1353479</v>
      </c>
      <c r="Y13" s="303">
        <f>619722.05+185511.34+(209583.04-185511.34)</f>
        <v>829305.09000000008</v>
      </c>
      <c r="Z13" s="388"/>
      <c r="AA13" s="566">
        <v>0</v>
      </c>
      <c r="AB13" s="391"/>
      <c r="AC13" s="434">
        <f>'FY25 - Unrestricted Fund'!C43</f>
        <v>0</v>
      </c>
      <c r="AD13" s="391"/>
      <c r="AE13" s="434">
        <f>+AA13+AC13</f>
        <v>0</v>
      </c>
      <c r="AF13" s="33"/>
      <c r="AG13" s="33"/>
      <c r="AH13" s="33"/>
      <c r="AI13" s="33"/>
      <c r="AJ13" s="33"/>
      <c r="AK13" s="33"/>
      <c r="AL13" s="33"/>
      <c r="AM13" s="33"/>
      <c r="AN13" s="33"/>
      <c r="AO13" s="33"/>
      <c r="AP13" s="33"/>
      <c r="AQ13" s="33"/>
      <c r="AR13" s="33"/>
      <c r="AS13" s="33"/>
      <c r="AT13" s="33"/>
      <c r="AU13" s="33"/>
      <c r="AV13" s="33"/>
      <c r="AW13" s="33"/>
      <c r="AX13" s="33"/>
      <c r="AY13" s="33"/>
    </row>
    <row r="14" spans="1:66" ht="18.75" hidden="1" thickBot="1" x14ac:dyDescent="0.3">
      <c r="A14" s="567"/>
      <c r="B14" s="568"/>
      <c r="C14" s="301"/>
      <c r="D14" s="568"/>
      <c r="E14" s="301"/>
      <c r="F14" s="568"/>
      <c r="G14" s="301"/>
      <c r="H14" s="568"/>
      <c r="I14" s="301"/>
      <c r="J14" s="568"/>
      <c r="K14" s="301"/>
      <c r="L14" s="568"/>
      <c r="M14" s="301"/>
      <c r="N14" s="568"/>
      <c r="O14" s="301"/>
      <c r="P14" s="568"/>
      <c r="Q14" s="569"/>
      <c r="R14" s="570"/>
      <c r="S14" s="511"/>
      <c r="T14" s="571"/>
      <c r="U14" s="572"/>
      <c r="V14" s="571"/>
      <c r="W14" s="511"/>
      <c r="X14" s="571"/>
      <c r="Y14" s="572"/>
      <c r="Z14" s="388"/>
      <c r="AA14" s="573"/>
      <c r="AB14" s="388"/>
      <c r="AC14" s="573"/>
      <c r="AD14" s="388"/>
      <c r="AE14" s="573"/>
      <c r="AF14" s="33"/>
      <c r="AG14" s="33"/>
      <c r="AH14" s="84"/>
      <c r="AI14" s="84"/>
      <c r="AJ14" s="409"/>
      <c r="AK14" s="97"/>
      <c r="AL14" s="463"/>
      <c r="AM14" s="84"/>
      <c r="AN14" s="33"/>
      <c r="AO14" s="33"/>
      <c r="AP14" s="33"/>
      <c r="AQ14" s="33"/>
      <c r="AR14" s="33"/>
      <c r="AS14" s="33"/>
      <c r="AT14" s="33"/>
      <c r="AU14" s="33"/>
      <c r="AV14" s="33"/>
      <c r="AW14" s="33"/>
      <c r="AX14" s="33"/>
      <c r="AY14" s="33"/>
    </row>
    <row r="15" spans="1:66" s="47" customFormat="1" ht="19.5" customHeight="1" thickBot="1" x14ac:dyDescent="0.3">
      <c r="A15" s="574" t="s">
        <v>23</v>
      </c>
      <c r="B15" s="575">
        <f>SUM(B12:B13)</f>
        <v>0</v>
      </c>
      <c r="C15" s="576">
        <f>C13+C12</f>
        <v>20085375.34</v>
      </c>
      <c r="D15" s="575">
        <f>SUM(D12:D13)</f>
        <v>20500000.039999999</v>
      </c>
      <c r="E15" s="576" t="e">
        <f>SUM(E12:E14)</f>
        <v>#REF!</v>
      </c>
      <c r="F15" s="575" t="e">
        <f>SUM(F12:F13)</f>
        <v>#REF!</v>
      </c>
      <c r="G15" s="576" t="e">
        <f>#REF!+#REF!+G13+G12</f>
        <v>#REF!</v>
      </c>
      <c r="H15" s="577">
        <f t="shared" ref="H15:N15" si="0">SUM(H12:H14)</f>
        <v>8305431</v>
      </c>
      <c r="I15" s="578" t="e">
        <f t="shared" si="0"/>
        <v>#REF!</v>
      </c>
      <c r="J15" s="577">
        <f t="shared" si="0"/>
        <v>15488336</v>
      </c>
      <c r="K15" s="578" t="e">
        <f t="shared" si="0"/>
        <v>#REF!</v>
      </c>
      <c r="L15" s="579" t="e">
        <f t="shared" si="0"/>
        <v>#REF!</v>
      </c>
      <c r="M15" s="580" t="e">
        <f t="shared" si="0"/>
        <v>#REF!</v>
      </c>
      <c r="N15" s="577" t="e">
        <f t="shared" si="0"/>
        <v>#REF!</v>
      </c>
      <c r="O15" s="578" t="e">
        <f>+#REF!+#REF!+#REF!+O13+O12</f>
        <v>#REF!</v>
      </c>
      <c r="P15" s="577" t="e">
        <f>SUM(P12:P14)</f>
        <v>#REF!</v>
      </c>
      <c r="Q15" s="578" t="e">
        <f>SUM(Q12:Q14)+1</f>
        <v>#REF!</v>
      </c>
      <c r="R15" s="577" t="e">
        <f>SUM(R12:R14)</f>
        <v>#REF!</v>
      </c>
      <c r="S15" s="581" t="e">
        <f>SUM(S12:S14)</f>
        <v>#REF!</v>
      </c>
      <c r="T15" s="578" t="e">
        <f>SUM(T12:T14)</f>
        <v>#REF!</v>
      </c>
      <c r="U15" s="578" t="e">
        <f>SUM(U12:U14)</f>
        <v>#REF!</v>
      </c>
      <c r="V15" s="578" t="e">
        <f>SUM(V12:V14)-1</f>
        <v>#REF!</v>
      </c>
      <c r="W15" s="582" t="e">
        <f>SUM(W11:W14)</f>
        <v>#REF!</v>
      </c>
      <c r="X15" s="577">
        <f>SUM(X11:X14)</f>
        <v>27389629</v>
      </c>
      <c r="Y15" s="578" t="e">
        <f>SUM(Y12:Y14)</f>
        <v>#REF!</v>
      </c>
      <c r="Z15" s="583"/>
      <c r="AA15" s="584">
        <f>SUM(AA12:AA14)</f>
        <v>6590868</v>
      </c>
      <c r="AB15" s="583"/>
      <c r="AC15" s="584">
        <f>SUM(AC12:AC14)</f>
        <v>-1000000</v>
      </c>
      <c r="AD15" s="583"/>
      <c r="AE15" s="584">
        <f>SUM(AE12:AE14)</f>
        <v>5590868</v>
      </c>
      <c r="AF15" s="28"/>
      <c r="AG15" s="28"/>
      <c r="AH15" s="519" t="s">
        <v>206</v>
      </c>
      <c r="AI15" s="107"/>
      <c r="AJ15" s="108"/>
      <c r="AK15" s="107"/>
      <c r="AL15" s="109"/>
      <c r="AM15" s="107"/>
      <c r="AN15" s="28"/>
      <c r="AO15" s="28"/>
      <c r="AP15" s="28"/>
      <c r="AQ15" s="28"/>
      <c r="AR15" s="28"/>
      <c r="AS15" s="28"/>
      <c r="AT15" s="28"/>
      <c r="AU15" s="28"/>
      <c r="AV15" s="28"/>
      <c r="AW15" s="28"/>
      <c r="AX15" s="28"/>
      <c r="AY15" s="28"/>
    </row>
    <row r="16" spans="1:66" ht="18" x14ac:dyDescent="0.25">
      <c r="A16" s="296"/>
      <c r="B16" s="296"/>
      <c r="C16" s="296"/>
      <c r="D16" s="296"/>
      <c r="E16" s="296"/>
      <c r="F16" s="296"/>
      <c r="G16" s="296"/>
      <c r="H16" s="296"/>
      <c r="I16" s="296"/>
      <c r="J16" s="296"/>
      <c r="K16" s="296"/>
      <c r="L16" s="296"/>
      <c r="M16" s="296"/>
      <c r="N16" s="296"/>
      <c r="O16" s="296"/>
      <c r="P16" s="296"/>
      <c r="Q16" s="296"/>
      <c r="R16" s="303"/>
      <c r="S16" s="248"/>
      <c r="T16" s="299"/>
      <c r="U16" s="300"/>
      <c r="V16" s="299"/>
      <c r="W16" s="248"/>
      <c r="X16" s="301"/>
      <c r="Y16" s="248"/>
      <c r="Z16" s="415"/>
      <c r="AA16" s="304"/>
      <c r="AB16" s="415"/>
      <c r="AC16" s="304"/>
      <c r="AD16" s="415"/>
      <c r="AE16" s="304"/>
      <c r="AF16" s="33"/>
      <c r="AG16" s="84" t="s">
        <v>85</v>
      </c>
      <c r="AH16" s="519" t="s">
        <v>207</v>
      </c>
      <c r="AI16" s="84"/>
      <c r="AJ16" s="409"/>
      <c r="AK16" s="84"/>
      <c r="AL16" s="85"/>
      <c r="AM16" s="84"/>
      <c r="AN16" s="33"/>
      <c r="AO16" s="33"/>
      <c r="AP16" s="33"/>
      <c r="AQ16" s="33"/>
      <c r="AR16" s="33"/>
      <c r="AS16" s="33"/>
      <c r="AT16" s="33"/>
      <c r="AU16" s="33"/>
      <c r="AV16" s="33"/>
      <c r="AW16" s="33"/>
      <c r="AX16" s="33"/>
      <c r="AY16" s="33"/>
    </row>
    <row r="17" spans="1:66" ht="18" x14ac:dyDescent="0.25">
      <c r="A17" s="303"/>
      <c r="B17" s="303"/>
      <c r="C17" s="303"/>
      <c r="D17" s="303"/>
      <c r="E17" s="303"/>
      <c r="F17" s="303"/>
      <c r="G17" s="303"/>
      <c r="H17" s="303"/>
      <c r="I17" s="303"/>
      <c r="J17" s="303"/>
      <c r="K17" s="303"/>
      <c r="L17" s="303"/>
      <c r="M17" s="303"/>
      <c r="N17" s="303"/>
      <c r="O17" s="303"/>
      <c r="P17" s="303"/>
      <c r="Q17" s="303"/>
      <c r="R17" s="303"/>
      <c r="S17" s="248"/>
      <c r="T17" s="299"/>
      <c r="U17" s="300"/>
      <c r="V17" s="299"/>
      <c r="W17" s="248"/>
      <c r="X17" s="301"/>
      <c r="Y17" s="248"/>
      <c r="Z17" s="415"/>
      <c r="AA17" s="299"/>
      <c r="AB17" s="415"/>
      <c r="AC17" s="299"/>
      <c r="AD17" s="415"/>
      <c r="AE17" s="299"/>
      <c r="AF17" s="33"/>
      <c r="AG17" s="84">
        <f>AE15-AE26</f>
        <v>-1000000</v>
      </c>
      <c r="AH17" s="520" t="s">
        <v>208</v>
      </c>
      <c r="AI17" s="84"/>
      <c r="AJ17" s="409"/>
      <c r="AK17" s="84"/>
      <c r="AL17" s="85"/>
      <c r="AM17" s="84"/>
      <c r="AN17" s="33"/>
      <c r="AO17" s="33"/>
      <c r="AP17" s="33"/>
      <c r="AQ17" s="33"/>
      <c r="AR17" s="33"/>
      <c r="AS17" s="33"/>
      <c r="AT17" s="33"/>
      <c r="AU17" s="33"/>
      <c r="AV17" s="33"/>
      <c r="AW17" s="33"/>
      <c r="AX17" s="33"/>
      <c r="AY17" s="33"/>
    </row>
    <row r="18" spans="1:66" s="36" customFormat="1" ht="20.25" x14ac:dyDescent="0.3">
      <c r="A18" s="357" t="s">
        <v>166</v>
      </c>
      <c r="B18" s="355"/>
      <c r="C18" s="355"/>
      <c r="D18" s="355"/>
      <c r="E18" s="355"/>
      <c r="F18" s="355"/>
      <c r="G18" s="355"/>
      <c r="H18" s="355"/>
      <c r="I18" s="355"/>
      <c r="J18" s="355"/>
      <c r="K18" s="355"/>
      <c r="L18" s="355"/>
      <c r="M18" s="355"/>
      <c r="N18" s="355"/>
      <c r="O18" s="355"/>
      <c r="P18" s="355"/>
      <c r="Q18" s="355"/>
      <c r="R18" s="355"/>
      <c r="S18" s="356"/>
      <c r="T18" s="299"/>
      <c r="U18" s="410"/>
      <c r="V18" s="299"/>
      <c r="W18" s="356"/>
      <c r="X18" s="301"/>
      <c r="Y18" s="356"/>
      <c r="Z18" s="585"/>
      <c r="AA18" s="299"/>
      <c r="AB18" s="585"/>
      <c r="AC18" s="299"/>
      <c r="AD18" s="585"/>
      <c r="AE18" s="299"/>
      <c r="AF18" s="35"/>
      <c r="AG18" s="114"/>
      <c r="AH18" s="114"/>
      <c r="AI18" s="114"/>
      <c r="AJ18" s="114"/>
      <c r="AK18" s="114"/>
      <c r="AL18" s="115"/>
      <c r="AM18" s="114"/>
      <c r="AN18" s="35"/>
      <c r="AO18" s="35"/>
      <c r="AP18" s="35"/>
      <c r="AQ18" s="35"/>
      <c r="AR18" s="35"/>
      <c r="AS18" s="35"/>
      <c r="AT18" s="35"/>
      <c r="AU18" s="35"/>
      <c r="AV18" s="35"/>
      <c r="AW18" s="35"/>
      <c r="AX18" s="35"/>
      <c r="AY18" s="35"/>
    </row>
    <row r="19" spans="1:66" ht="18.75" thickBot="1" x14ac:dyDescent="0.3">
      <c r="A19" s="532"/>
      <c r="B19" s="411"/>
      <c r="C19" s="411"/>
      <c r="D19" s="411"/>
      <c r="E19" s="301"/>
      <c r="F19" s="411"/>
      <c r="G19" s="411"/>
      <c r="H19" s="411"/>
      <c r="I19" s="411"/>
      <c r="J19" s="411"/>
      <c r="K19" s="411"/>
      <c r="L19" s="411"/>
      <c r="M19" s="411"/>
      <c r="N19" s="411"/>
      <c r="O19" s="411"/>
      <c r="P19" s="411"/>
      <c r="Q19" s="411"/>
      <c r="R19" s="411"/>
      <c r="S19" s="412"/>
      <c r="T19" s="361"/>
      <c r="U19" s="412"/>
      <c r="V19" s="361"/>
      <c r="W19" s="412"/>
      <c r="X19" s="361"/>
      <c r="Y19" s="412"/>
      <c r="Z19" s="586"/>
      <c r="AA19" s="361"/>
      <c r="AB19" s="586"/>
      <c r="AC19" s="361"/>
      <c r="AD19" s="586"/>
      <c r="AE19" s="361"/>
      <c r="AF19" s="33"/>
      <c r="AG19" s="84"/>
      <c r="AH19" s="84"/>
      <c r="AI19" s="84"/>
      <c r="AJ19" s="409"/>
      <c r="AK19" s="84"/>
      <c r="AL19" s="85"/>
      <c r="AM19" s="33"/>
      <c r="AN19" s="33"/>
      <c r="AO19" s="33"/>
      <c r="AP19" s="33"/>
      <c r="AQ19" s="33"/>
      <c r="AR19" s="33"/>
      <c r="AS19" s="33"/>
      <c r="AT19" s="33"/>
      <c r="AU19" s="33"/>
      <c r="AV19" s="33"/>
      <c r="AW19" s="33"/>
      <c r="AX19" s="33"/>
      <c r="AY19" s="33"/>
    </row>
    <row r="20" spans="1:66" s="47" customFormat="1" ht="18.95" customHeight="1" x14ac:dyDescent="0.25">
      <c r="A20" s="546"/>
      <c r="B20" s="548"/>
      <c r="C20" s="548"/>
      <c r="D20" s="547"/>
      <c r="E20" s="548"/>
      <c r="F20" s="547"/>
      <c r="G20" s="548"/>
      <c r="H20" s="547"/>
      <c r="I20" s="548"/>
      <c r="J20" s="547"/>
      <c r="K20" s="548"/>
      <c r="L20" s="547"/>
      <c r="M20" s="548"/>
      <c r="N20" s="547"/>
      <c r="O20" s="548"/>
      <c r="P20" s="547"/>
      <c r="Q20" s="548"/>
      <c r="R20" s="549" t="s">
        <v>9</v>
      </c>
      <c r="S20" s="550" t="s">
        <v>10</v>
      </c>
      <c r="T20" s="551" t="s">
        <v>9</v>
      </c>
      <c r="U20" s="552" t="s">
        <v>11</v>
      </c>
      <c r="V20" s="551" t="s">
        <v>9</v>
      </c>
      <c r="W20" s="550" t="s">
        <v>12</v>
      </c>
      <c r="X20" s="549" t="s">
        <v>9</v>
      </c>
      <c r="Y20" s="552" t="s">
        <v>13</v>
      </c>
      <c r="Z20" s="587"/>
      <c r="AA20" s="553" t="s">
        <v>14</v>
      </c>
      <c r="AB20" s="587"/>
      <c r="AC20" s="553" t="s">
        <v>15</v>
      </c>
      <c r="AD20" s="587"/>
      <c r="AE20" s="553" t="s">
        <v>16</v>
      </c>
      <c r="AF20" s="28"/>
      <c r="AG20" s="28"/>
      <c r="AH20" s="28"/>
      <c r="AI20" s="28"/>
      <c r="AJ20" s="28"/>
      <c r="AK20" s="28"/>
      <c r="AL20" s="28"/>
      <c r="AM20" s="28"/>
      <c r="AN20" s="28"/>
      <c r="AO20" s="28"/>
      <c r="AP20" s="28"/>
      <c r="AQ20" s="28"/>
      <c r="AR20" s="28"/>
      <c r="AS20" s="28"/>
      <c r="AT20" s="28"/>
      <c r="AU20" s="28"/>
      <c r="AV20" s="28"/>
      <c r="AW20" s="28"/>
      <c r="AX20" s="28"/>
      <c r="AY20" s="28"/>
    </row>
    <row r="21" spans="1:66" s="47" customFormat="1" ht="18.95" customHeight="1" thickBot="1" x14ac:dyDescent="0.3">
      <c r="A21" s="554" t="s">
        <v>24</v>
      </c>
      <c r="B21" s="588" t="s">
        <v>9</v>
      </c>
      <c r="C21" s="556" t="s">
        <v>18</v>
      </c>
      <c r="D21" s="555" t="s">
        <v>9</v>
      </c>
      <c r="E21" s="556" t="s">
        <v>18</v>
      </c>
      <c r="F21" s="555" t="s">
        <v>9</v>
      </c>
      <c r="G21" s="556" t="s">
        <v>18</v>
      </c>
      <c r="H21" s="555" t="s">
        <v>9</v>
      </c>
      <c r="I21" s="556" t="s">
        <v>18</v>
      </c>
      <c r="J21" s="555" t="s">
        <v>9</v>
      </c>
      <c r="K21" s="556" t="s">
        <v>18</v>
      </c>
      <c r="L21" s="555" t="s">
        <v>9</v>
      </c>
      <c r="M21" s="556" t="s">
        <v>18</v>
      </c>
      <c r="N21" s="555" t="s">
        <v>9</v>
      </c>
      <c r="O21" s="556" t="s">
        <v>18</v>
      </c>
      <c r="P21" s="555" t="s">
        <v>9</v>
      </c>
      <c r="Q21" s="556" t="s">
        <v>18</v>
      </c>
      <c r="R21" s="557" t="s">
        <v>19</v>
      </c>
      <c r="S21" s="510" t="s">
        <v>18</v>
      </c>
      <c r="T21" s="558" t="s">
        <v>19</v>
      </c>
      <c r="U21" s="559" t="s">
        <v>18</v>
      </c>
      <c r="V21" s="558" t="s">
        <v>19</v>
      </c>
      <c r="W21" s="510" t="s">
        <v>18</v>
      </c>
      <c r="X21" s="557" t="s">
        <v>19</v>
      </c>
      <c r="Y21" s="559" t="s">
        <v>20</v>
      </c>
      <c r="Z21" s="398"/>
      <c r="AA21" s="560" t="s">
        <v>9</v>
      </c>
      <c r="AB21" s="398"/>
      <c r="AC21" s="560" t="s">
        <v>21</v>
      </c>
      <c r="AD21" s="398"/>
      <c r="AE21" s="560" t="s">
        <v>9</v>
      </c>
      <c r="AF21" s="55"/>
      <c r="AG21" s="55"/>
      <c r="AH21" s="55"/>
      <c r="AI21" s="55"/>
      <c r="AJ21" s="55"/>
      <c r="AK21" s="55"/>
      <c r="AL21" s="55"/>
      <c r="AM21" s="55"/>
      <c r="AN21" s="55"/>
      <c r="AO21" s="55"/>
      <c r="AP21" s="55"/>
      <c r="AQ21" s="55"/>
      <c r="AR21" s="55"/>
      <c r="AS21" s="55"/>
      <c r="AT21" s="55"/>
      <c r="AU21" s="55"/>
      <c r="AV21" s="55"/>
      <c r="AW21" s="55"/>
      <c r="AX21" s="55"/>
      <c r="AY21" s="55"/>
      <c r="AZ21" s="56"/>
      <c r="BA21" s="56"/>
      <c r="BB21" s="56"/>
      <c r="BC21" s="56"/>
      <c r="BD21" s="56"/>
      <c r="BE21" s="56"/>
      <c r="BF21" s="56"/>
      <c r="BG21" s="56"/>
      <c r="BH21" s="56"/>
      <c r="BI21" s="56"/>
      <c r="BJ21" s="56"/>
      <c r="BK21" s="56"/>
      <c r="BL21" s="56"/>
      <c r="BM21" s="56"/>
      <c r="BN21" s="56"/>
    </row>
    <row r="22" spans="1:66" ht="18" hidden="1" x14ac:dyDescent="0.25">
      <c r="A22" s="326"/>
      <c r="B22" s="296"/>
      <c r="C22" s="296"/>
      <c r="D22" s="295"/>
      <c r="E22" s="296"/>
      <c r="F22" s="295"/>
      <c r="G22" s="296"/>
      <c r="H22" s="295"/>
      <c r="I22" s="296"/>
      <c r="J22" s="295"/>
      <c r="K22" s="296"/>
      <c r="L22" s="295"/>
      <c r="M22" s="296"/>
      <c r="N22" s="295"/>
      <c r="O22" s="296"/>
      <c r="P22" s="295"/>
      <c r="Q22" s="296"/>
      <c r="R22" s="295"/>
      <c r="S22" s="589"/>
      <c r="T22" s="299"/>
      <c r="U22" s="590"/>
      <c r="V22" s="299"/>
      <c r="W22" s="589"/>
      <c r="X22" s="301"/>
      <c r="Y22" s="590"/>
      <c r="Z22" s="398"/>
      <c r="AA22" s="302"/>
      <c r="AB22" s="398"/>
      <c r="AC22" s="302"/>
      <c r="AD22" s="398"/>
      <c r="AE22" s="302"/>
      <c r="AF22" s="33"/>
      <c r="AG22" s="84"/>
      <c r="AH22" s="55"/>
      <c r="AI22" s="55"/>
      <c r="AJ22" s="55"/>
      <c r="AK22" s="84"/>
      <c r="AL22" s="33"/>
      <c r="AM22" s="33"/>
      <c r="AN22" s="33"/>
      <c r="AO22" s="33"/>
      <c r="AP22" s="33"/>
      <c r="AQ22" s="33"/>
      <c r="AR22" s="33"/>
      <c r="AS22" s="33"/>
      <c r="AT22" s="33"/>
      <c r="AU22" s="33"/>
      <c r="AV22" s="33"/>
      <c r="AW22" s="33"/>
      <c r="AX22" s="33"/>
      <c r="AY22" s="33"/>
    </row>
    <row r="23" spans="1:66" ht="15.75" x14ac:dyDescent="0.25">
      <c r="A23" s="513" t="s">
        <v>83</v>
      </c>
      <c r="B23" s="415" t="s">
        <v>22</v>
      </c>
      <c r="C23" s="436">
        <v>212358.34</v>
      </c>
      <c r="D23" s="561">
        <v>9427000</v>
      </c>
      <c r="E23" s="436">
        <v>4714679.59</v>
      </c>
      <c r="F23" s="561">
        <v>13551000</v>
      </c>
      <c r="G23" s="436">
        <v>10502477.699999999</v>
      </c>
      <c r="H23" s="561">
        <v>10312802</v>
      </c>
      <c r="I23" s="436">
        <f>7978052.77-2060188.43-198035.7+198035.7</f>
        <v>5917864.3399999999</v>
      </c>
      <c r="J23" s="561">
        <v>13817964.67</v>
      </c>
      <c r="K23" s="436">
        <v>12504314</v>
      </c>
      <c r="L23" s="562">
        <v>9357442</v>
      </c>
      <c r="M23" s="563">
        <f>2907095.24+1113+2228.87-9950-35997.67+3244.46</f>
        <v>2867733.9000000004</v>
      </c>
      <c r="N23" s="561">
        <v>10200911.35</v>
      </c>
      <c r="O23" s="436">
        <f>3058.44+1052325.78+314341.12+537609.88+11643+417763.5+412122.66+556.5+3896.82</f>
        <v>2753317.6999999997</v>
      </c>
      <c r="P23" s="561">
        <v>1891155.55</v>
      </c>
      <c r="Q23" s="436">
        <f>-858.34+388568.51+110910.34+74000+42458.47+1966501.5+42013.42+556.5</f>
        <v>2624150.4</v>
      </c>
      <c r="R23" s="561">
        <v>6206571.6399999997</v>
      </c>
      <c r="S23" s="417">
        <f>1893.96+298814.13+401826.75+4305+9070+423481.91+10818.76+556.5</f>
        <v>1150767.01</v>
      </c>
      <c r="T23" s="416">
        <v>7905942.7000000002</v>
      </c>
      <c r="U23" s="415">
        <f>3388475.94-262-262-46683.75-1902.75</f>
        <v>3339365.44</v>
      </c>
      <c r="V23" s="416">
        <v>16995296</v>
      </c>
      <c r="W23" s="417" t="e">
        <f>11215692.04+556.5-#REF!-3072.99-20000-100000-158544-61934.46-279164.53</f>
        <v>#REF!</v>
      </c>
      <c r="X23" s="418">
        <v>12229170</v>
      </c>
      <c r="Y23" s="415">
        <f>11424387.8+2905397.57-5521606-11424387.8+11971584.13</f>
        <v>9355375.7000000011</v>
      </c>
      <c r="Z23" s="398"/>
      <c r="AA23" s="500">
        <v>6590868</v>
      </c>
      <c r="AB23" s="399"/>
      <c r="AC23" s="591">
        <v>0</v>
      </c>
      <c r="AD23" s="399"/>
      <c r="AE23" s="500">
        <f t="shared" ref="AE23:AE24" si="1">+AA23+AC23</f>
        <v>6590868</v>
      </c>
      <c r="AF23" s="125"/>
      <c r="AG23" s="84"/>
      <c r="AH23" s="84"/>
      <c r="AI23" s="84"/>
      <c r="AJ23" s="84"/>
      <c r="AL23" s="33"/>
      <c r="AM23" s="33"/>
      <c r="AN23" s="33"/>
      <c r="AO23" s="33"/>
      <c r="AP23" s="33"/>
      <c r="AQ23" s="33"/>
      <c r="AR23" s="33"/>
      <c r="AS23" s="33"/>
      <c r="AT23" s="33"/>
      <c r="AU23" s="33"/>
      <c r="AV23" s="33"/>
      <c r="AW23" s="33"/>
      <c r="AX23" s="33"/>
      <c r="AY23" s="33"/>
    </row>
    <row r="24" spans="1:66" ht="16.5" thickBot="1" x14ac:dyDescent="0.3">
      <c r="A24" s="513" t="s">
        <v>84</v>
      </c>
      <c r="B24" s="415"/>
      <c r="C24" s="436"/>
      <c r="D24" s="561"/>
      <c r="E24" s="436"/>
      <c r="F24" s="561"/>
      <c r="G24" s="436"/>
      <c r="H24" s="561"/>
      <c r="I24" s="436"/>
      <c r="J24" s="561"/>
      <c r="K24" s="436"/>
      <c r="L24" s="562"/>
      <c r="M24" s="563"/>
      <c r="N24" s="561"/>
      <c r="O24" s="436"/>
      <c r="P24" s="561"/>
      <c r="Q24" s="436"/>
      <c r="R24" s="561"/>
      <c r="S24" s="417"/>
      <c r="T24" s="416"/>
      <c r="U24" s="415"/>
      <c r="V24" s="416"/>
      <c r="W24" s="417"/>
      <c r="X24" s="419">
        <v>-5477772</v>
      </c>
      <c r="Y24" s="420">
        <f>+X24</f>
        <v>-5477772</v>
      </c>
      <c r="Z24" s="398"/>
      <c r="AA24" s="566">
        <v>0</v>
      </c>
      <c r="AB24" s="399"/>
      <c r="AC24" s="434">
        <v>0</v>
      </c>
      <c r="AD24" s="399"/>
      <c r="AE24" s="434">
        <f t="shared" si="1"/>
        <v>0</v>
      </c>
      <c r="AF24" s="125"/>
      <c r="AG24" s="84"/>
      <c r="AH24" s="84"/>
      <c r="AI24" s="84"/>
      <c r="AJ24" s="84"/>
      <c r="AL24" s="33"/>
      <c r="AM24" s="33"/>
      <c r="AN24" s="33"/>
      <c r="AO24" s="33"/>
      <c r="AP24" s="33"/>
      <c r="AQ24" s="33"/>
      <c r="AR24" s="33"/>
      <c r="AS24" s="33"/>
      <c r="AT24" s="33"/>
      <c r="AU24" s="33"/>
      <c r="AV24" s="33"/>
      <c r="AW24" s="33"/>
      <c r="AX24" s="33"/>
      <c r="AY24" s="33"/>
    </row>
    <row r="25" spans="1:66" ht="18.75" hidden="1" thickBot="1" x14ac:dyDescent="0.3">
      <c r="A25" s="592"/>
      <c r="B25" s="299"/>
      <c r="C25" s="301"/>
      <c r="D25" s="568"/>
      <c r="E25" s="301"/>
      <c r="F25" s="568"/>
      <c r="G25" s="301"/>
      <c r="H25" s="568"/>
      <c r="I25" s="301"/>
      <c r="J25" s="568"/>
      <c r="K25" s="301"/>
      <c r="L25" s="593"/>
      <c r="M25" s="594"/>
      <c r="N25" s="568"/>
      <c r="O25" s="301"/>
      <c r="P25" s="568"/>
      <c r="Q25" s="301"/>
      <c r="R25" s="568"/>
      <c r="S25" s="595"/>
      <c r="T25" s="361"/>
      <c r="U25" s="596"/>
      <c r="V25" s="361"/>
      <c r="W25" s="595"/>
      <c r="X25" s="361"/>
      <c r="Y25" s="596"/>
      <c r="Z25" s="398"/>
      <c r="AA25" s="597"/>
      <c r="AB25" s="398"/>
      <c r="AC25" s="597"/>
      <c r="AD25" s="398"/>
      <c r="AE25" s="597"/>
      <c r="AF25" s="33"/>
      <c r="AG25" s="161"/>
      <c r="AH25" s="164"/>
      <c r="AI25" s="169"/>
      <c r="AJ25" s="169"/>
      <c r="AK25" s="84"/>
      <c r="AL25" s="33"/>
      <c r="AM25" s="33"/>
      <c r="AN25" s="33"/>
      <c r="AO25" s="33"/>
      <c r="AP25" s="33"/>
      <c r="AQ25" s="33"/>
      <c r="AR25" s="33"/>
      <c r="AS25" s="33"/>
      <c r="AT25" s="33"/>
      <c r="AU25" s="33"/>
      <c r="AV25" s="33"/>
      <c r="AW25" s="33"/>
      <c r="AX25" s="33"/>
      <c r="AY25" s="33"/>
    </row>
    <row r="26" spans="1:66" ht="18.75" thickBot="1" x14ac:dyDescent="0.3">
      <c r="A26" s="574" t="s">
        <v>28</v>
      </c>
      <c r="B26" s="576">
        <f>SUM(B23:B24)</f>
        <v>0</v>
      </c>
      <c r="C26" s="576" t="e">
        <f>#REF!+C23</f>
        <v>#REF!</v>
      </c>
      <c r="D26" s="575">
        <f>SUM(D23:D24)</f>
        <v>9427000</v>
      </c>
      <c r="E26" s="576">
        <f>SUM(E23:E24)</f>
        <v>4714679.59</v>
      </c>
      <c r="F26" s="575">
        <f>SUM(F23:F24)</f>
        <v>13551000</v>
      </c>
      <c r="G26" s="576">
        <f>SUM(G23:G24)</f>
        <v>10502477.699999999</v>
      </c>
      <c r="H26" s="598" t="e">
        <f>H23+#REF!</f>
        <v>#REF!</v>
      </c>
      <c r="I26" s="599" t="e">
        <f>#REF!+I23</f>
        <v>#REF!</v>
      </c>
      <c r="J26" s="598" t="e">
        <f>J23+#REF!</f>
        <v>#REF!</v>
      </c>
      <c r="K26" s="599" t="e">
        <f>#REF!+K23</f>
        <v>#REF!</v>
      </c>
      <c r="L26" s="600" t="e">
        <f>L23+#REF!</f>
        <v>#REF!</v>
      </c>
      <c r="M26" s="601" t="e">
        <f>#REF!+M23</f>
        <v>#REF!</v>
      </c>
      <c r="N26" s="598" t="e">
        <f>N23+#REF!</f>
        <v>#REF!</v>
      </c>
      <c r="O26" s="599" t="e">
        <f>+O23+#REF!</f>
        <v>#REF!</v>
      </c>
      <c r="P26" s="598" t="e">
        <f>P23+#REF!</f>
        <v>#REF!</v>
      </c>
      <c r="Q26" s="599" t="e">
        <f>#REF!+Q23</f>
        <v>#REF!</v>
      </c>
      <c r="R26" s="602" t="e">
        <f>R23+#REF!</f>
        <v>#REF!</v>
      </c>
      <c r="S26" s="603" t="e">
        <f>S23+#REF!</f>
        <v>#REF!</v>
      </c>
      <c r="T26" s="604" t="e">
        <f>T23+#REF!</f>
        <v>#REF!</v>
      </c>
      <c r="U26" s="605">
        <f>SUM(U23:U25)</f>
        <v>3339365.44</v>
      </c>
      <c r="V26" s="604" t="e">
        <f>V23+#REF!+#REF!</f>
        <v>#REF!</v>
      </c>
      <c r="W26" s="606" t="e">
        <f>SUM(W23:W25)</f>
        <v>#REF!</v>
      </c>
      <c r="X26" s="602" t="e">
        <f>X23+#REF!+#REF!+X24+#REF!</f>
        <v>#REF!</v>
      </c>
      <c r="Y26" s="605">
        <f>SUM(Y23:Y25)</f>
        <v>3877603.7000000011</v>
      </c>
      <c r="Z26" s="607"/>
      <c r="AA26" s="584">
        <f>SUM(AA23:AA25)</f>
        <v>6590868</v>
      </c>
      <c r="AB26" s="607"/>
      <c r="AC26" s="584">
        <f>SUM(AC23:AC25)</f>
        <v>0</v>
      </c>
      <c r="AD26" s="607"/>
      <c r="AE26" s="584">
        <f>SUM(AE23:AE25)</f>
        <v>6590868</v>
      </c>
      <c r="AF26" s="33"/>
      <c r="AG26" s="163"/>
      <c r="AH26" s="169"/>
      <c r="AI26" s="172"/>
      <c r="AJ26" s="172"/>
      <c r="AK26" s="84"/>
      <c r="AL26" s="33"/>
      <c r="AM26" s="33"/>
      <c r="AN26" s="33"/>
      <c r="AO26" s="33"/>
      <c r="AP26" s="33"/>
      <c r="AQ26" s="33"/>
      <c r="AR26" s="33"/>
      <c r="AS26" s="33"/>
      <c r="AT26" s="33"/>
      <c r="AU26" s="33"/>
      <c r="AV26" s="33"/>
      <c r="AW26" s="33"/>
      <c r="AX26" s="33"/>
      <c r="AY26" s="33"/>
    </row>
    <row r="27" spans="1:66" ht="18" x14ac:dyDescent="0.25">
      <c r="A27" s="57"/>
      <c r="B27" s="57"/>
      <c r="C27" s="57"/>
      <c r="D27" s="57"/>
      <c r="E27" s="57"/>
      <c r="F27" s="57"/>
      <c r="G27" s="57"/>
      <c r="H27" s="57"/>
      <c r="I27" s="57"/>
      <c r="J27" s="57"/>
      <c r="K27" s="57"/>
      <c r="L27" s="57"/>
      <c r="M27" s="57"/>
      <c r="N27" s="57"/>
      <c r="O27" s="57"/>
      <c r="P27" s="57"/>
      <c r="Q27" s="57"/>
      <c r="R27" s="57"/>
      <c r="S27" s="33"/>
      <c r="T27" s="63"/>
      <c r="U27" s="62"/>
      <c r="V27" s="63"/>
      <c r="W27" s="33"/>
      <c r="X27" s="63"/>
      <c r="Y27" s="33"/>
      <c r="Z27" s="586"/>
      <c r="AA27" s="63"/>
      <c r="AB27" s="586"/>
      <c r="AC27" s="33"/>
      <c r="AD27" s="586"/>
      <c r="AE27" s="33"/>
      <c r="AF27" s="33"/>
      <c r="AG27" s="84"/>
      <c r="AK27" s="84"/>
      <c r="AL27" s="33"/>
      <c r="AM27" s="33"/>
      <c r="AN27" s="33"/>
      <c r="AO27" s="33"/>
      <c r="AP27" s="33"/>
      <c r="AQ27" s="33"/>
      <c r="AR27" s="33"/>
      <c r="AS27" s="33"/>
      <c r="AT27" s="33"/>
      <c r="AU27" s="33"/>
      <c r="AV27" s="33"/>
      <c r="AW27" s="33"/>
      <c r="AX27" s="33"/>
      <c r="AY27" s="33"/>
    </row>
    <row r="28" spans="1:66" s="47" customFormat="1" ht="20.25" hidden="1" customHeight="1" x14ac:dyDescent="0.25">
      <c r="A28" s="608" t="s">
        <v>86</v>
      </c>
      <c r="B28" s="421"/>
      <c r="C28" s="421"/>
      <c r="D28" s="421"/>
      <c r="E28" s="421" t="s">
        <v>22</v>
      </c>
      <c r="F28" s="421"/>
      <c r="G28" s="421"/>
      <c r="H28" s="421"/>
      <c r="I28" s="421"/>
      <c r="J28" s="421"/>
      <c r="K28" s="421"/>
      <c r="L28" s="421"/>
      <c r="M28" s="421"/>
      <c r="N28" s="421"/>
      <c r="O28" s="421"/>
      <c r="P28" s="421"/>
      <c r="Q28" s="421"/>
      <c r="R28" s="421"/>
      <c r="S28" s="381"/>
      <c r="T28" s="74"/>
      <c r="U28" s="450"/>
      <c r="V28" s="515" t="s">
        <v>29</v>
      </c>
      <c r="W28" s="33"/>
      <c r="X28" s="63"/>
      <c r="Y28" s="381"/>
      <c r="Z28" s="586"/>
      <c r="AA28" s="609">
        <v>15305573</v>
      </c>
      <c r="AB28" s="586"/>
      <c r="AC28" s="610"/>
      <c r="AD28" s="586"/>
      <c r="AE28" s="611">
        <f>AA28+AC13-AC23</f>
        <v>15305573</v>
      </c>
      <c r="AF28" s="28"/>
      <c r="AG28" s="107"/>
      <c r="AK28" s="107"/>
      <c r="AL28" s="28"/>
      <c r="AM28" s="28"/>
      <c r="AN28" s="28"/>
      <c r="AO28" s="28"/>
      <c r="AP28" s="28"/>
      <c r="AQ28" s="28"/>
      <c r="AR28" s="28"/>
      <c r="AS28" s="28"/>
      <c r="AT28" s="28"/>
      <c r="AU28" s="28"/>
      <c r="AV28" s="28"/>
      <c r="AW28" s="28"/>
      <c r="AX28" s="28"/>
      <c r="AY28" s="28"/>
    </row>
    <row r="29" spans="1:66" ht="18" x14ac:dyDescent="0.25">
      <c r="A29" s="612"/>
      <c r="B29" s="613"/>
      <c r="C29" s="613"/>
      <c r="D29" s="613"/>
      <c r="E29" s="613"/>
      <c r="F29" s="613"/>
      <c r="G29" s="613"/>
      <c r="H29" s="613"/>
      <c r="I29" s="613"/>
      <c r="J29" s="613"/>
      <c r="K29" s="614"/>
      <c r="L29" s="614"/>
      <c r="M29" s="614"/>
      <c r="N29" s="614"/>
      <c r="O29" s="614"/>
      <c r="P29" s="614"/>
      <c r="Q29" s="614"/>
      <c r="R29" s="614"/>
      <c r="S29" s="614"/>
      <c r="T29" s="615"/>
      <c r="U29" s="615"/>
      <c r="V29" s="453"/>
      <c r="W29" s="454"/>
      <c r="X29" s="454"/>
      <c r="Y29" s="454"/>
      <c r="Z29" s="586"/>
      <c r="AA29" s="453"/>
      <c r="AB29" s="586"/>
      <c r="AC29" s="447"/>
      <c r="AD29" s="586"/>
      <c r="AE29" s="516"/>
      <c r="AF29" s="33"/>
      <c r="AG29" s="33"/>
      <c r="AH29" s="84"/>
      <c r="AI29" s="84"/>
      <c r="AJ29" s="84"/>
      <c r="AK29" s="33"/>
      <c r="AL29" s="33"/>
      <c r="AM29" s="33"/>
      <c r="AN29" s="33"/>
      <c r="AO29" s="33"/>
      <c r="AP29" s="33"/>
      <c r="AQ29" s="33"/>
      <c r="AR29" s="33"/>
      <c r="AS29" s="33"/>
      <c r="AT29" s="33"/>
      <c r="AU29" s="33"/>
      <c r="AV29" s="33"/>
      <c r="AW29" s="33"/>
      <c r="AX29" s="33"/>
      <c r="AY29" s="33"/>
    </row>
    <row r="30" spans="1:66" ht="15.75" x14ac:dyDescent="0.25">
      <c r="A30" s="447"/>
      <c r="B30" s="447"/>
      <c r="C30" s="447"/>
      <c r="D30" s="447"/>
      <c r="E30" s="448"/>
      <c r="F30" s="447"/>
      <c r="G30" s="447"/>
      <c r="H30" s="447"/>
      <c r="I30" s="447"/>
      <c r="J30" s="447"/>
      <c r="K30" s="447"/>
      <c r="L30" s="447"/>
      <c r="M30" s="449"/>
      <c r="N30" s="447"/>
      <c r="O30" s="447"/>
      <c r="P30" s="447"/>
      <c r="Q30" s="447"/>
      <c r="R30" s="447"/>
      <c r="S30" s="33"/>
      <c r="U30" s="450"/>
      <c r="V30" s="451" t="s">
        <v>30</v>
      </c>
      <c r="W30" s="452"/>
      <c r="X30" s="452"/>
      <c r="Y30" s="452"/>
      <c r="Z30" s="586"/>
      <c r="AA30" s="454"/>
      <c r="AB30" s="586"/>
      <c r="AC30" s="447"/>
      <c r="AD30" s="586"/>
      <c r="AE30" s="447"/>
      <c r="AF30" s="33"/>
      <c r="AK30" s="33"/>
      <c r="AL30" s="33"/>
      <c r="AM30" s="33"/>
      <c r="AN30" s="33"/>
      <c r="AO30" s="33"/>
      <c r="AP30" s="33"/>
      <c r="AQ30" s="33"/>
      <c r="AR30" s="33"/>
      <c r="AS30" s="33"/>
      <c r="AT30" s="33"/>
      <c r="AU30" s="33"/>
      <c r="AV30" s="33"/>
      <c r="AW30" s="33"/>
      <c r="AX30" s="33"/>
      <c r="AY30" s="33"/>
      <c r="AZ30" s="450"/>
      <c r="BA30" s="450"/>
      <c r="BB30" s="450"/>
      <c r="BC30" s="450"/>
      <c r="BD30" s="450"/>
      <c r="BE30" s="450"/>
      <c r="BF30" s="450"/>
    </row>
    <row r="31" spans="1:66" ht="18" x14ac:dyDescent="0.25">
      <c r="A31" s="421" t="s">
        <v>77</v>
      </c>
      <c r="B31" s="421"/>
      <c r="C31" s="421"/>
      <c r="D31" s="421"/>
      <c r="E31" s="421"/>
      <c r="F31" s="421"/>
      <c r="G31" s="421"/>
      <c r="H31" s="421"/>
      <c r="I31" s="421"/>
      <c r="J31" s="421"/>
      <c r="K31" s="33"/>
      <c r="L31" s="33"/>
      <c r="M31" s="84"/>
      <c r="N31" s="84"/>
      <c r="O31" s="84"/>
      <c r="P31" s="84"/>
      <c r="Q31" s="84"/>
      <c r="R31" s="33"/>
      <c r="S31" s="84"/>
      <c r="T31" s="63"/>
      <c r="U31" s="450"/>
      <c r="V31" s="63"/>
      <c r="W31" s="63"/>
      <c r="X31" s="63"/>
      <c r="Y31" s="63"/>
      <c r="Z31" s="586"/>
      <c r="AA31" s="616">
        <f>AA26-AA15</f>
        <v>0</v>
      </c>
      <c r="AB31" s="586"/>
      <c r="AC31" s="616">
        <f t="shared" ref="AC31:AE31" si="2">AC26-AC15</f>
        <v>1000000</v>
      </c>
      <c r="AD31" s="586"/>
      <c r="AE31" s="616">
        <f t="shared" si="2"/>
        <v>1000000</v>
      </c>
      <c r="AF31" s="455"/>
      <c r="AK31" s="447"/>
      <c r="AL31" s="447"/>
      <c r="AM31" s="457"/>
      <c r="AN31" s="457"/>
      <c r="AO31" s="62"/>
      <c r="AP31" s="62"/>
      <c r="AQ31" s="62"/>
      <c r="AR31" s="62"/>
      <c r="AS31" s="62"/>
      <c r="AT31" s="62"/>
      <c r="AU31" s="62"/>
      <c r="AV31" s="62"/>
      <c r="AW31" s="62"/>
      <c r="AX31" s="62"/>
      <c r="AY31" s="62"/>
      <c r="AZ31" s="450"/>
      <c r="BA31" s="450"/>
      <c r="BB31" s="450"/>
      <c r="BC31" s="450"/>
      <c r="BD31" s="450"/>
      <c r="BE31" s="450"/>
      <c r="BF31" s="450"/>
      <c r="BG31" s="450"/>
    </row>
    <row r="32" spans="1:66" x14ac:dyDescent="0.2">
      <c r="S32" s="163"/>
      <c r="T32" s="163"/>
      <c r="U32" s="163"/>
      <c r="V32" s="163"/>
      <c r="W32" s="163"/>
      <c r="X32" s="163"/>
      <c r="Y32" s="163"/>
      <c r="Z32" s="303"/>
      <c r="AA32" s="161"/>
      <c r="AB32" s="303"/>
      <c r="AC32" s="161"/>
      <c r="AD32" s="303"/>
      <c r="AE32" s="161"/>
      <c r="AF32" s="447"/>
      <c r="AK32" s="447"/>
      <c r="AL32" s="447"/>
      <c r="AM32" s="447"/>
      <c r="AN32" s="447"/>
      <c r="AO32" s="62"/>
      <c r="AP32" s="62"/>
      <c r="AQ32" s="62"/>
      <c r="AR32" s="62"/>
      <c r="AS32" s="62"/>
      <c r="AT32" s="62"/>
      <c r="AU32" s="62"/>
      <c r="AV32" s="62"/>
      <c r="AW32" s="62"/>
      <c r="AX32" s="62"/>
      <c r="AY32" s="62"/>
      <c r="AZ32" s="450"/>
      <c r="BA32" s="450"/>
      <c r="BB32" s="450"/>
      <c r="BC32" s="450"/>
      <c r="BD32" s="450"/>
      <c r="BE32" s="450"/>
      <c r="BF32" s="450"/>
      <c r="BG32" s="450"/>
    </row>
    <row r="33" spans="1:66" x14ac:dyDescent="0.2">
      <c r="S33" s="163"/>
      <c r="T33" s="163"/>
      <c r="U33" s="163"/>
      <c r="V33" s="163"/>
      <c r="W33" s="163"/>
      <c r="X33" s="460"/>
      <c r="Y33" s="163"/>
      <c r="Z33" s="303"/>
      <c r="AA33" s="163"/>
      <c r="AB33" s="303"/>
      <c r="AC33" s="163"/>
      <c r="AD33" s="303"/>
      <c r="AE33" s="163"/>
      <c r="AF33" s="62"/>
      <c r="AK33" s="62"/>
      <c r="AL33" s="62"/>
      <c r="AM33" s="62"/>
      <c r="AN33" s="62"/>
      <c r="AO33" s="62"/>
      <c r="AP33" s="62"/>
      <c r="AQ33" s="62"/>
      <c r="AR33" s="62"/>
      <c r="AS33" s="62"/>
      <c r="AT33" s="62"/>
      <c r="AU33" s="62"/>
      <c r="AV33" s="62"/>
      <c r="AW33" s="62"/>
      <c r="AX33" s="62"/>
      <c r="AY33" s="62"/>
      <c r="AZ33" s="450"/>
      <c r="BA33" s="450"/>
      <c r="BB33" s="450"/>
      <c r="BC33" s="450"/>
      <c r="BD33" s="450"/>
      <c r="BE33" s="450"/>
      <c r="BF33" s="450"/>
      <c r="BG33" s="450"/>
    </row>
    <row r="34" spans="1:66" ht="18" x14ac:dyDescent="0.25">
      <c r="A34" s="110"/>
      <c r="B34" s="110"/>
      <c r="C34" s="110"/>
      <c r="D34" s="110"/>
      <c r="E34" s="110"/>
      <c r="F34" s="110"/>
      <c r="G34" s="110"/>
      <c r="H34" s="110"/>
      <c r="I34" s="110" t="s">
        <v>22</v>
      </c>
      <c r="J34" s="110"/>
      <c r="K34" s="461"/>
      <c r="L34" s="462"/>
      <c r="M34" s="409"/>
      <c r="N34" s="409"/>
      <c r="O34" s="409"/>
      <c r="P34" s="409"/>
      <c r="Q34" s="409"/>
      <c r="R34" s="462"/>
      <c r="S34" s="462"/>
      <c r="T34" s="63"/>
      <c r="U34" s="462"/>
      <c r="V34" s="63"/>
      <c r="W34" s="63"/>
      <c r="X34" s="63"/>
      <c r="Y34" s="63"/>
      <c r="Z34" s="572"/>
      <c r="AA34" s="63"/>
      <c r="AB34" s="572"/>
      <c r="AC34" s="462"/>
      <c r="AD34" s="572"/>
      <c r="AE34" s="462"/>
      <c r="AF34" s="161"/>
      <c r="AK34" s="161"/>
      <c r="AL34" s="161"/>
      <c r="AM34" s="161"/>
      <c r="AN34" s="161"/>
      <c r="AO34" s="161"/>
      <c r="AP34" s="161"/>
      <c r="AQ34" s="161"/>
      <c r="AR34" s="161"/>
      <c r="AS34" s="161"/>
      <c r="AT34" s="161"/>
      <c r="AU34" s="161"/>
      <c r="AV34" s="161"/>
      <c r="AW34" s="161"/>
      <c r="AX34" s="161"/>
      <c r="AY34" s="161"/>
      <c r="AZ34" s="161"/>
      <c r="BA34" s="161"/>
      <c r="BB34" s="161"/>
      <c r="BC34" s="161"/>
      <c r="BD34" s="161"/>
      <c r="BE34" s="161"/>
      <c r="BF34" s="161"/>
      <c r="BG34" s="163"/>
      <c r="BH34" s="163"/>
      <c r="BI34" s="163"/>
      <c r="BJ34" s="163"/>
      <c r="BK34" s="163"/>
      <c r="BL34" s="163"/>
      <c r="BM34" s="163"/>
      <c r="BN34" s="163"/>
    </row>
    <row r="35" spans="1:66" ht="18" x14ac:dyDescent="0.25">
      <c r="A35" s="421"/>
      <c r="B35" s="421"/>
      <c r="C35" s="421"/>
      <c r="D35" s="421"/>
      <c r="E35" s="421"/>
      <c r="F35" s="421"/>
      <c r="G35" s="421"/>
      <c r="H35" s="421"/>
      <c r="I35" s="421"/>
      <c r="J35" s="421"/>
      <c r="K35" s="33"/>
      <c r="L35" s="463"/>
      <c r="M35" s="33"/>
      <c r="N35" s="84"/>
      <c r="O35" s="84"/>
      <c r="P35" s="84"/>
      <c r="Q35" s="84"/>
      <c r="R35" s="33"/>
      <c r="S35" s="85"/>
      <c r="T35" s="63"/>
      <c r="U35" s="421"/>
      <c r="V35" s="63"/>
      <c r="W35" s="63"/>
      <c r="X35" s="63"/>
      <c r="Y35" s="63"/>
      <c r="Z35" s="617"/>
      <c r="AA35" s="63"/>
      <c r="AB35" s="617"/>
      <c r="AC35" s="33"/>
      <c r="AD35" s="617"/>
      <c r="AE35" s="33"/>
      <c r="AF35" s="163"/>
      <c r="AK35" s="163"/>
      <c r="AL35" s="163"/>
      <c r="AM35" s="163"/>
      <c r="AN35" s="163"/>
      <c r="AO35" s="163"/>
      <c r="AP35" s="163"/>
      <c r="AQ35" s="163"/>
      <c r="AR35" s="163"/>
      <c r="AS35" s="163"/>
      <c r="AT35" s="163"/>
      <c r="AU35" s="163"/>
      <c r="AV35" s="163"/>
      <c r="AW35" s="163"/>
      <c r="AX35" s="163"/>
      <c r="AY35" s="163"/>
      <c r="AZ35" s="163"/>
      <c r="BA35" s="163"/>
      <c r="BB35" s="163"/>
      <c r="BC35" s="163"/>
      <c r="BD35" s="163"/>
      <c r="BE35" s="163"/>
      <c r="BF35" s="163"/>
      <c r="BG35" s="163"/>
      <c r="BH35" s="163"/>
      <c r="BI35" s="163"/>
      <c r="BJ35" s="163"/>
      <c r="BK35" s="163"/>
      <c r="BL35" s="163"/>
      <c r="BM35" s="163"/>
      <c r="BN35" s="163"/>
    </row>
    <row r="36" spans="1:66" ht="18" x14ac:dyDescent="0.25">
      <c r="A36" s="421"/>
      <c r="B36" s="421"/>
      <c r="C36" s="421"/>
      <c r="D36" s="421"/>
      <c r="E36" s="421"/>
      <c r="F36" s="421"/>
      <c r="G36" s="421"/>
      <c r="H36" s="421"/>
      <c r="I36" s="421"/>
      <c r="J36" s="421"/>
      <c r="K36" s="33"/>
      <c r="L36" s="463"/>
      <c r="M36" s="33"/>
      <c r="N36" s="84"/>
      <c r="O36" s="84"/>
      <c r="P36" s="84"/>
      <c r="Q36" s="84"/>
      <c r="R36" s="33"/>
      <c r="S36" s="85"/>
      <c r="T36" s="63"/>
      <c r="U36" s="421"/>
      <c r="V36" s="63"/>
      <c r="W36" s="63"/>
      <c r="X36" s="63"/>
      <c r="Y36" s="464">
        <v>39233</v>
      </c>
      <c r="Z36" s="33"/>
      <c r="AA36" s="63"/>
      <c r="AB36" s="33"/>
      <c r="AC36" s="33"/>
      <c r="AD36" s="33"/>
      <c r="AE36" s="33"/>
      <c r="AF36" s="462"/>
      <c r="AK36" s="462"/>
      <c r="AL36" s="462"/>
      <c r="AM36" s="462"/>
      <c r="AN36" s="462"/>
      <c r="AO36" s="462"/>
      <c r="AP36" s="462"/>
      <c r="AQ36" s="462"/>
      <c r="AR36" s="462"/>
      <c r="AS36" s="462"/>
      <c r="AT36" s="462"/>
      <c r="AU36" s="462"/>
      <c r="AV36" s="462"/>
      <c r="AW36" s="462"/>
      <c r="AX36" s="462"/>
      <c r="AY36" s="462"/>
    </row>
    <row r="37" spans="1:66" ht="18" x14ac:dyDescent="0.25">
      <c r="A37" s="421"/>
      <c r="B37" s="421"/>
      <c r="C37" s="421"/>
      <c r="D37" s="421"/>
      <c r="E37" s="421"/>
      <c r="F37" s="421"/>
      <c r="G37" s="421"/>
      <c r="H37" s="421"/>
      <c r="I37" s="421"/>
      <c r="J37" s="421"/>
      <c r="K37" s="33"/>
      <c r="L37" s="463"/>
      <c r="M37" s="84">
        <v>5101790.63</v>
      </c>
      <c r="N37" s="84"/>
      <c r="O37" s="84">
        <v>6436448.6699999999</v>
      </c>
      <c r="P37" s="84"/>
      <c r="Q37" s="84">
        <v>10349521.92</v>
      </c>
      <c r="R37" s="33"/>
      <c r="S37" s="84">
        <v>15024837.26</v>
      </c>
      <c r="T37" s="63" t="s">
        <v>33</v>
      </c>
      <c r="U37" s="84">
        <v>17562507.760000002</v>
      </c>
      <c r="V37" s="63" t="s">
        <v>33</v>
      </c>
      <c r="W37" s="84">
        <v>22959180.210000001</v>
      </c>
      <c r="X37" s="465" t="s">
        <v>33</v>
      </c>
      <c r="Y37" s="466">
        <v>13078902.26</v>
      </c>
      <c r="Z37" s="325"/>
      <c r="AA37" s="352"/>
      <c r="AB37" s="325"/>
      <c r="AC37" s="33"/>
      <c r="AD37" s="325"/>
      <c r="AE37" s="33"/>
      <c r="AF37" s="33"/>
      <c r="AG37" s="462"/>
      <c r="AH37" s="172"/>
      <c r="AI37" s="157"/>
      <c r="AJ37" s="157"/>
      <c r="AK37" s="33"/>
      <c r="AL37" s="33"/>
      <c r="AM37" s="33"/>
      <c r="AN37" s="33"/>
      <c r="AO37" s="33"/>
      <c r="AP37" s="33"/>
      <c r="AQ37" s="33"/>
      <c r="AR37" s="33"/>
      <c r="AS37" s="33"/>
      <c r="AT37" s="33"/>
      <c r="AU37" s="33"/>
      <c r="AV37" s="33"/>
      <c r="AW37" s="33"/>
      <c r="AX37" s="33"/>
      <c r="AY37" s="33"/>
    </row>
    <row r="38" spans="1:66" ht="18.75" thickBot="1" x14ac:dyDescent="0.3">
      <c r="A38" s="421"/>
      <c r="B38" s="421"/>
      <c r="C38" s="421"/>
      <c r="D38" s="421"/>
      <c r="E38" s="421"/>
      <c r="F38" s="421"/>
      <c r="G38" s="421"/>
      <c r="H38" s="421"/>
      <c r="I38" s="421"/>
      <c r="J38" s="421"/>
      <c r="K38" s="33"/>
      <c r="L38" s="463"/>
      <c r="M38" s="84">
        <v>2435546.67</v>
      </c>
      <c r="N38" s="84"/>
      <c r="O38" s="84">
        <v>2034508.56</v>
      </c>
      <c r="P38" s="84"/>
      <c r="Q38" s="84">
        <v>890204.2</v>
      </c>
      <c r="R38" s="33"/>
      <c r="S38" s="84">
        <f>2649012.99-386707</f>
        <v>2262305.9900000002</v>
      </c>
      <c r="T38" s="63" t="s">
        <v>34</v>
      </c>
      <c r="U38" s="84">
        <f>+U48</f>
        <v>7716730.4199999999</v>
      </c>
      <c r="V38" s="63" t="s">
        <v>34</v>
      </c>
      <c r="W38" s="84">
        <v>3995193.16</v>
      </c>
      <c r="X38" s="63" t="s">
        <v>34</v>
      </c>
      <c r="Y38" s="467">
        <v>5437540.0700000003</v>
      </c>
      <c r="Z38" s="356"/>
      <c r="AA38" s="352"/>
      <c r="AB38" s="356"/>
      <c r="AC38" s="33"/>
      <c r="AD38" s="356"/>
      <c r="AE38" s="33"/>
      <c r="AF38" s="33"/>
      <c r="AG38" s="33"/>
      <c r="AH38" s="157"/>
      <c r="AI38" s="177"/>
      <c r="AJ38" s="177"/>
      <c r="AK38" s="33"/>
      <c r="AL38" s="33"/>
      <c r="AM38" s="33"/>
      <c r="AN38" s="33"/>
      <c r="AO38" s="33"/>
      <c r="AP38" s="33"/>
      <c r="AQ38" s="33"/>
      <c r="AR38" s="33"/>
      <c r="AS38" s="33"/>
      <c r="AT38" s="33"/>
      <c r="AU38" s="33"/>
      <c r="AV38" s="33"/>
      <c r="AW38" s="33"/>
      <c r="AX38" s="33"/>
      <c r="AY38" s="33"/>
    </row>
    <row r="39" spans="1:66" ht="18" x14ac:dyDescent="0.25">
      <c r="A39" s="421"/>
      <c r="B39" s="421"/>
      <c r="C39" s="421"/>
      <c r="D39" s="421"/>
      <c r="E39" s="421"/>
      <c r="F39" s="421"/>
      <c r="G39" s="421"/>
      <c r="H39" s="421"/>
      <c r="I39" s="421"/>
      <c r="J39" s="421"/>
      <c r="K39" s="33"/>
      <c r="L39" s="463"/>
      <c r="M39" s="84">
        <v>723337.82</v>
      </c>
      <c r="N39" s="84"/>
      <c r="O39" s="84">
        <v>45437.84</v>
      </c>
      <c r="P39" s="84"/>
      <c r="Q39" s="84">
        <v>57676.35</v>
      </c>
      <c r="R39" s="33"/>
      <c r="S39" s="84">
        <v>58271.39</v>
      </c>
      <c r="T39" s="63" t="s">
        <v>35</v>
      </c>
      <c r="U39" s="468">
        <v>59749.52</v>
      </c>
      <c r="V39" s="63" t="s">
        <v>35</v>
      </c>
      <c r="W39" s="84">
        <v>0</v>
      </c>
      <c r="X39" s="63" t="s">
        <v>35</v>
      </c>
      <c r="Y39" s="466">
        <v>0</v>
      </c>
      <c r="Z39" s="369"/>
      <c r="AA39" s="352"/>
      <c r="AB39" s="369"/>
      <c r="AC39" s="33"/>
      <c r="AD39" s="369"/>
      <c r="AE39" s="33"/>
      <c r="AF39" s="33"/>
      <c r="AG39" s="33"/>
      <c r="AH39" s="177"/>
      <c r="AI39" s="177"/>
      <c r="AJ39" s="177"/>
      <c r="AK39" s="33"/>
      <c r="AL39" s="33"/>
      <c r="AM39" s="33"/>
      <c r="AN39" s="33"/>
      <c r="AO39" s="33"/>
      <c r="AP39" s="33"/>
      <c r="AQ39" s="33"/>
      <c r="AR39" s="33"/>
      <c r="AS39" s="33"/>
      <c r="AT39" s="33"/>
      <c r="AU39" s="33"/>
      <c r="AV39" s="33"/>
      <c r="AW39" s="33"/>
      <c r="AX39" s="33"/>
      <c r="AY39" s="33"/>
    </row>
    <row r="40" spans="1:66" ht="18.75" thickBot="1" x14ac:dyDescent="0.3">
      <c r="A40" s="421"/>
      <c r="B40" s="421"/>
      <c r="C40" s="421"/>
      <c r="D40" s="421"/>
      <c r="E40" s="421"/>
      <c r="F40" s="421"/>
      <c r="G40" s="421"/>
      <c r="H40" s="421"/>
      <c r="I40" s="421"/>
      <c r="J40" s="421"/>
      <c r="K40" s="33"/>
      <c r="L40" s="463"/>
      <c r="M40" s="84">
        <f>SUM(M37:M39)</f>
        <v>8260675.1200000001</v>
      </c>
      <c r="N40" s="84"/>
      <c r="O40" s="84">
        <f>SUM(O37:O39)</f>
        <v>8516395.0700000003</v>
      </c>
      <c r="P40" s="84"/>
      <c r="Q40" s="84">
        <f>SUM(Q37:Q39)</f>
        <v>11297402.469999999</v>
      </c>
      <c r="R40" s="33"/>
      <c r="S40" s="84">
        <f>SUM(S37:S39)</f>
        <v>17345414.640000001</v>
      </c>
      <c r="T40" s="63"/>
      <c r="U40" s="469">
        <f>SUM(U37:U39)</f>
        <v>25338987.699999999</v>
      </c>
      <c r="V40" s="352"/>
      <c r="W40" s="470">
        <f>SUM(W37:W39)</f>
        <v>26954373.370000001</v>
      </c>
      <c r="X40" s="84"/>
      <c r="Y40" s="471">
        <f>SUM(Y37:Y39)</f>
        <v>18516442.329999998</v>
      </c>
      <c r="Z40" s="378"/>
      <c r="AA40" s="473"/>
      <c r="AB40" s="378"/>
      <c r="AC40" s="33"/>
      <c r="AD40" s="378"/>
      <c r="AE40" s="33"/>
      <c r="AF40" s="33"/>
      <c r="AG40" s="33"/>
      <c r="AH40" s="177"/>
      <c r="AI40" s="177"/>
      <c r="AJ40" s="177"/>
      <c r="AK40" s="33"/>
      <c r="AL40" s="33"/>
      <c r="AM40" s="33"/>
      <c r="AN40" s="33"/>
      <c r="AO40" s="33"/>
      <c r="AP40" s="33"/>
      <c r="AQ40" s="33"/>
      <c r="AR40" s="33"/>
      <c r="AS40" s="33"/>
      <c r="AT40" s="33"/>
      <c r="AU40" s="33"/>
      <c r="AV40" s="33"/>
      <c r="AW40" s="33"/>
      <c r="AX40" s="33"/>
      <c r="AY40" s="33"/>
    </row>
    <row r="41" spans="1:66" ht="18.75" thickTop="1" x14ac:dyDescent="0.25">
      <c r="A41" s="421"/>
      <c r="B41" s="421"/>
      <c r="C41" s="421"/>
      <c r="D41" s="421"/>
      <c r="E41" s="421"/>
      <c r="F41" s="421"/>
      <c r="G41" s="421"/>
      <c r="H41" s="421"/>
      <c r="I41" s="421"/>
      <c r="J41" s="421"/>
      <c r="K41" s="33"/>
      <c r="L41" s="463"/>
      <c r="M41" s="33"/>
      <c r="N41" s="84"/>
      <c r="O41" s="84"/>
      <c r="P41" s="84"/>
      <c r="Q41" s="84"/>
      <c r="R41" s="33"/>
      <c r="S41" s="84"/>
      <c r="T41" s="63"/>
      <c r="U41" s="33"/>
      <c r="V41" s="63"/>
      <c r="W41" s="474"/>
      <c r="X41" s="474"/>
      <c r="Y41" s="475"/>
      <c r="Z41" s="378"/>
      <c r="AA41" s="475"/>
      <c r="AB41" s="378"/>
      <c r="AC41" s="33"/>
      <c r="AD41" s="378"/>
      <c r="AE41" s="33"/>
      <c r="AF41" s="33"/>
      <c r="AG41" s="33"/>
      <c r="AH41" s="177"/>
      <c r="AI41" s="177"/>
      <c r="AJ41" s="177"/>
      <c r="AK41" s="33"/>
      <c r="AL41" s="33"/>
      <c r="AM41" s="33"/>
      <c r="AN41" s="33"/>
      <c r="AO41" s="33"/>
      <c r="AP41" s="33"/>
      <c r="AQ41" s="33"/>
      <c r="AR41" s="33"/>
      <c r="AS41" s="33"/>
      <c r="AT41" s="33"/>
      <c r="AU41" s="33"/>
      <c r="AV41" s="33"/>
      <c r="AW41" s="33"/>
      <c r="AX41" s="33"/>
      <c r="AY41" s="33"/>
    </row>
    <row r="42" spans="1:66" ht="18" x14ac:dyDescent="0.25">
      <c r="A42" s="421"/>
      <c r="B42" s="421"/>
      <c r="C42" s="421"/>
      <c r="D42" s="421"/>
      <c r="E42" s="421"/>
      <c r="F42" s="421"/>
      <c r="G42" s="421"/>
      <c r="H42" s="421"/>
      <c r="I42" s="421"/>
      <c r="J42" s="421"/>
      <c r="K42" s="33"/>
      <c r="L42" s="463"/>
      <c r="M42" s="409" t="e">
        <f>+M40-#REF!</f>
        <v>#REF!</v>
      </c>
      <c r="N42" s="409"/>
      <c r="O42" s="409" t="e">
        <f>+O40-#REF!</f>
        <v>#REF!</v>
      </c>
      <c r="P42" s="409"/>
      <c r="Q42" s="409" t="e">
        <f>+Q40-#REF!</f>
        <v>#REF!</v>
      </c>
      <c r="R42" s="462"/>
      <c r="S42" s="409" t="e">
        <f>+S40-#REF!</f>
        <v>#REF!</v>
      </c>
      <c r="T42" s="63"/>
      <c r="U42" s="409" t="e">
        <f>+U40-#REF!</f>
        <v>#REF!</v>
      </c>
      <c r="V42" s="63"/>
      <c r="W42" s="84" t="e">
        <f>+#REF!-W40</f>
        <v>#REF!</v>
      </c>
      <c r="X42" s="474"/>
      <c r="Y42" s="84" t="e">
        <f>+#REF!-Y40</f>
        <v>#REF!</v>
      </c>
      <c r="Z42" s="377"/>
      <c r="AA42" s="475"/>
      <c r="AB42" s="377"/>
      <c r="AC42" s="33"/>
      <c r="AD42" s="377"/>
      <c r="AE42" s="33"/>
      <c r="AF42" s="33"/>
      <c r="AG42" s="33"/>
      <c r="AH42" s="177"/>
      <c r="AI42" s="177"/>
      <c r="AJ42" s="177"/>
      <c r="AK42" s="33"/>
      <c r="AL42" s="33"/>
      <c r="AM42" s="33"/>
      <c r="AN42" s="33"/>
      <c r="AO42" s="33"/>
      <c r="AP42" s="33"/>
      <c r="AQ42" s="33"/>
      <c r="AR42" s="33"/>
      <c r="AS42" s="33"/>
      <c r="AT42" s="33"/>
      <c r="AU42" s="33"/>
      <c r="AV42" s="33"/>
      <c r="AW42" s="33"/>
      <c r="AX42" s="33"/>
      <c r="AY42" s="33"/>
    </row>
    <row r="43" spans="1:66" ht="18" x14ac:dyDescent="0.25">
      <c r="A43" s="421"/>
      <c r="B43" s="421"/>
      <c r="C43" s="421"/>
      <c r="D43" s="421"/>
      <c r="E43" s="421"/>
      <c r="F43" s="421"/>
      <c r="G43" s="421"/>
      <c r="H43" s="421"/>
      <c r="I43" s="421"/>
      <c r="J43" s="421"/>
      <c r="K43" s="33"/>
      <c r="L43" s="463"/>
      <c r="M43" s="33"/>
      <c r="N43" s="84"/>
      <c r="O43" s="84"/>
      <c r="P43" s="84"/>
      <c r="Q43" s="84"/>
      <c r="R43" s="33"/>
      <c r="S43" s="85"/>
      <c r="T43" s="63"/>
      <c r="U43" s="421"/>
      <c r="V43" s="63"/>
      <c r="W43" s="475"/>
      <c r="X43" s="475"/>
      <c r="Y43" s="475"/>
      <c r="Z43" s="377"/>
      <c r="AA43" s="475"/>
      <c r="AB43" s="377"/>
      <c r="AC43" s="33"/>
      <c r="AD43" s="377"/>
      <c r="AE43" s="33"/>
      <c r="AF43" s="33"/>
      <c r="AG43" s="33"/>
      <c r="AH43" s="33"/>
      <c r="AI43" s="33"/>
      <c r="AJ43" s="33"/>
      <c r="AK43" s="33"/>
      <c r="AL43" s="33"/>
      <c r="AM43" s="33"/>
      <c r="AN43" s="33"/>
      <c r="AO43" s="33"/>
      <c r="AP43" s="33"/>
      <c r="AQ43" s="33"/>
      <c r="AR43" s="33"/>
      <c r="AS43" s="33"/>
      <c r="AT43" s="33"/>
      <c r="AU43" s="33"/>
      <c r="AV43" s="33"/>
      <c r="AW43" s="33"/>
      <c r="AX43" s="33"/>
      <c r="AY43" s="33"/>
    </row>
    <row r="44" spans="1:66" ht="18" x14ac:dyDescent="0.25">
      <c r="A44" s="421"/>
      <c r="B44" s="421"/>
      <c r="C44" s="421"/>
      <c r="D44" s="421"/>
      <c r="E44" s="421"/>
      <c r="F44" s="421"/>
      <c r="G44" s="421"/>
      <c r="H44" s="421"/>
      <c r="I44" s="421"/>
      <c r="J44" s="421"/>
      <c r="K44" s="33"/>
      <c r="L44" s="463"/>
      <c r="M44" s="33"/>
      <c r="N44" s="84"/>
      <c r="O44" s="84"/>
      <c r="P44" s="84"/>
      <c r="Q44" s="84"/>
      <c r="R44" s="33" t="s">
        <v>34</v>
      </c>
      <c r="S44" s="85">
        <v>2649012.9900000002</v>
      </c>
      <c r="T44" s="63" t="s">
        <v>34</v>
      </c>
      <c r="U44" s="421">
        <v>7716730.4199999999</v>
      </c>
      <c r="V44" s="63" t="s">
        <v>34</v>
      </c>
      <c r="W44" s="473">
        <f>+W38</f>
        <v>3995193.16</v>
      </c>
      <c r="X44" s="421" t="s">
        <v>36</v>
      </c>
      <c r="Y44" s="476">
        <v>1161376</v>
      </c>
      <c r="Z44" s="377"/>
      <c r="AA44" s="475"/>
      <c r="AB44" s="377"/>
      <c r="AC44" s="33"/>
      <c r="AD44" s="377"/>
      <c r="AE44" s="33"/>
      <c r="AF44" s="33"/>
      <c r="AG44" s="84" t="s">
        <v>37</v>
      </c>
      <c r="AH44" s="84">
        <f>+AI$24*AI44</f>
        <v>0</v>
      </c>
      <c r="AI44" s="186">
        <v>0.08</v>
      </c>
      <c r="AJ44" s="33"/>
      <c r="AK44" s="33"/>
      <c r="AL44" s="33"/>
      <c r="AM44" s="33"/>
      <c r="AN44" s="33"/>
      <c r="AO44" s="33"/>
      <c r="AP44" s="33"/>
      <c r="AQ44" s="33"/>
      <c r="AR44" s="33"/>
      <c r="AS44" s="33"/>
      <c r="AT44" s="33"/>
      <c r="AU44" s="33"/>
      <c r="AV44" s="33"/>
      <c r="AW44" s="33"/>
      <c r="AX44" s="33"/>
      <c r="AY44" s="33"/>
    </row>
    <row r="45" spans="1:66" ht="18" x14ac:dyDescent="0.25">
      <c r="A45" s="421"/>
      <c r="B45" s="421" t="s">
        <v>22</v>
      </c>
      <c r="C45" s="421"/>
      <c r="D45" s="421"/>
      <c r="E45" s="421"/>
      <c r="F45" s="421"/>
      <c r="G45" s="421"/>
      <c r="H45" s="421"/>
      <c r="I45" s="421"/>
      <c r="J45" s="421"/>
      <c r="K45" s="33"/>
      <c r="L45" s="463"/>
      <c r="M45" s="33"/>
      <c r="N45" s="84"/>
      <c r="O45" s="84"/>
      <c r="P45" s="84"/>
      <c r="Q45" s="84"/>
      <c r="R45" s="33" t="s">
        <v>38</v>
      </c>
      <c r="S45" s="476">
        <v>386707</v>
      </c>
      <c r="T45" s="63"/>
      <c r="U45" s="33"/>
      <c r="V45" s="63"/>
      <c r="W45" s="473"/>
      <c r="X45" s="421" t="s">
        <v>39</v>
      </c>
      <c r="Y45" s="476">
        <v>5477772</v>
      </c>
      <c r="Z45" s="377"/>
      <c r="AA45" s="475"/>
      <c r="AB45" s="377"/>
      <c r="AC45" s="33"/>
      <c r="AD45" s="377"/>
      <c r="AE45" s="33"/>
      <c r="AF45" s="33"/>
      <c r="AG45" s="84" t="s">
        <v>31</v>
      </c>
      <c r="AH45" s="84">
        <f>+AI$24*AI45</f>
        <v>0</v>
      </c>
      <c r="AI45" s="186">
        <v>0.04</v>
      </c>
      <c r="AJ45" s="33"/>
      <c r="AK45" s="33"/>
      <c r="AL45" s="33"/>
      <c r="AM45" s="33"/>
      <c r="AN45" s="33"/>
      <c r="AO45" s="33"/>
      <c r="AP45" s="33"/>
      <c r="AQ45" s="33"/>
      <c r="AR45" s="33"/>
      <c r="AS45" s="33"/>
      <c r="AT45" s="33"/>
      <c r="AU45" s="33"/>
      <c r="AV45" s="33"/>
      <c r="AW45" s="33"/>
      <c r="AX45" s="33"/>
      <c r="AY45" s="33"/>
    </row>
    <row r="46" spans="1:66" ht="18" x14ac:dyDescent="0.25">
      <c r="A46" s="421"/>
      <c r="B46" s="421"/>
      <c r="C46" s="421"/>
      <c r="D46" s="421"/>
      <c r="E46" s="421"/>
      <c r="F46" s="421"/>
      <c r="G46" s="421"/>
      <c r="H46" s="421"/>
      <c r="I46" s="421"/>
      <c r="J46" s="421"/>
      <c r="K46" s="33"/>
      <c r="L46" s="463"/>
      <c r="M46" s="33"/>
      <c r="N46" s="84"/>
      <c r="O46" s="84"/>
      <c r="P46" s="84"/>
      <c r="Q46" s="84"/>
      <c r="R46" s="33"/>
      <c r="S46" s="33">
        <v>0</v>
      </c>
      <c r="T46" s="63"/>
      <c r="U46" s="33"/>
      <c r="V46" s="63"/>
      <c r="W46" s="473"/>
      <c r="X46" s="421" t="s">
        <v>40</v>
      </c>
      <c r="Y46" s="476">
        <f>10999378-Y45</f>
        <v>5521606</v>
      </c>
      <c r="Z46" s="377"/>
      <c r="AA46" s="475"/>
      <c r="AB46" s="377"/>
      <c r="AC46" s="33"/>
      <c r="AD46" s="377"/>
      <c r="AE46" s="33"/>
      <c r="AF46" s="33"/>
      <c r="AG46" s="84" t="s">
        <v>32</v>
      </c>
      <c r="AH46" s="84">
        <f>+AI$24*AI46</f>
        <v>0</v>
      </c>
      <c r="AI46" s="186">
        <v>0.01</v>
      </c>
      <c r="AJ46" s="33"/>
      <c r="AK46" s="33"/>
      <c r="AL46" s="33"/>
      <c r="AM46" s="33"/>
      <c r="AN46" s="33"/>
      <c r="AO46" s="33"/>
      <c r="AP46" s="33"/>
      <c r="AQ46" s="33"/>
      <c r="AR46" s="33"/>
      <c r="AS46" s="33"/>
      <c r="AT46" s="33"/>
      <c r="AU46" s="33"/>
      <c r="AV46" s="33"/>
      <c r="AW46" s="33"/>
      <c r="AX46" s="33"/>
      <c r="AY46" s="33"/>
    </row>
    <row r="47" spans="1:66" ht="18" x14ac:dyDescent="0.25">
      <c r="A47" s="421"/>
      <c r="B47" s="421"/>
      <c r="C47" s="421"/>
      <c r="D47" s="421"/>
      <c r="E47" s="421"/>
      <c r="F47" s="421"/>
      <c r="G47" s="421"/>
      <c r="H47" s="421"/>
      <c r="I47" s="421"/>
      <c r="J47" s="421"/>
      <c r="K47" s="33"/>
      <c r="L47" s="463"/>
      <c r="M47" s="33"/>
      <c r="N47" s="84"/>
      <c r="O47" s="84"/>
      <c r="P47" s="84"/>
      <c r="Q47" s="84"/>
      <c r="R47" s="33"/>
      <c r="S47" s="33"/>
      <c r="T47" s="63"/>
      <c r="U47" s="33"/>
      <c r="V47" s="63"/>
      <c r="W47" s="473">
        <f>+U45</f>
        <v>0</v>
      </c>
      <c r="X47" s="303" t="s">
        <v>41</v>
      </c>
      <c r="Y47" s="477">
        <v>1353611</v>
      </c>
      <c r="Z47" s="377"/>
      <c r="AA47" s="475"/>
      <c r="AB47" s="377"/>
      <c r="AC47" s="33"/>
      <c r="AD47" s="377"/>
      <c r="AE47" s="33"/>
      <c r="AF47" s="33"/>
      <c r="AG47" s="84" t="s">
        <v>42</v>
      </c>
      <c r="AH47" s="84">
        <f>+AI$24*AI47</f>
        <v>0</v>
      </c>
      <c r="AI47" s="186">
        <v>4.0000000000000001E-3</v>
      </c>
      <c r="AJ47" s="33"/>
      <c r="AK47" s="33"/>
      <c r="AL47" s="33"/>
      <c r="AM47" s="33"/>
      <c r="AN47" s="33"/>
      <c r="AO47" s="33"/>
      <c r="AP47" s="33"/>
      <c r="AQ47" s="33"/>
      <c r="AR47" s="33"/>
      <c r="AS47" s="33"/>
      <c r="AT47" s="33"/>
      <c r="AU47" s="33"/>
      <c r="AV47" s="33"/>
      <c r="AW47" s="33"/>
      <c r="AX47" s="33"/>
      <c r="AY47" s="33"/>
    </row>
    <row r="48" spans="1:66" ht="18" x14ac:dyDescent="0.25">
      <c r="O48" s="84"/>
      <c r="P48" s="84"/>
      <c r="Q48" s="84"/>
      <c r="R48" s="33"/>
      <c r="S48" s="85">
        <f>+S44-S45</f>
        <v>2262305.9900000002</v>
      </c>
      <c r="T48" s="63"/>
      <c r="U48" s="421">
        <f>+U44-U45-U46</f>
        <v>7716730.4199999999</v>
      </c>
      <c r="V48" s="63"/>
      <c r="W48" s="473">
        <f>+W44-W45-W46-W47</f>
        <v>3995193.16</v>
      </c>
      <c r="X48" s="421" t="s">
        <v>43</v>
      </c>
      <c r="Y48" s="478">
        <v>5000000</v>
      </c>
      <c r="Z48" s="377"/>
      <c r="AA48" s="475"/>
      <c r="AB48" s="377"/>
      <c r="AC48" s="33"/>
      <c r="AD48" s="377"/>
      <c r="AE48" s="33"/>
      <c r="AF48" s="33"/>
      <c r="AG48" s="84" t="s">
        <v>44</v>
      </c>
      <c r="AH48" s="84">
        <f>+AI$24*AI48</f>
        <v>0</v>
      </c>
      <c r="AI48" s="190">
        <v>0.86599999999999999</v>
      </c>
      <c r="AJ48" s="33"/>
      <c r="AK48" s="33"/>
      <c r="AL48" s="33"/>
      <c r="AM48" s="33"/>
      <c r="AN48" s="33"/>
      <c r="AO48" s="33"/>
      <c r="AP48" s="33"/>
      <c r="AQ48" s="33"/>
      <c r="AR48" s="33"/>
      <c r="AS48" s="33"/>
      <c r="AT48" s="33"/>
      <c r="AU48" s="33"/>
      <c r="AV48" s="33"/>
      <c r="AW48" s="33"/>
      <c r="AX48" s="33"/>
      <c r="AY48" s="33"/>
    </row>
    <row r="49" spans="15:51" ht="18" x14ac:dyDescent="0.25">
      <c r="O49" s="84"/>
      <c r="P49" s="84"/>
      <c r="Q49" s="84"/>
      <c r="R49" s="33"/>
      <c r="S49" s="85"/>
      <c r="T49" s="63"/>
      <c r="U49" s="421"/>
      <c r="V49" s="63"/>
      <c r="W49" s="473"/>
      <c r="X49" s="421" t="s">
        <v>45</v>
      </c>
      <c r="Y49" s="478">
        <v>25000</v>
      </c>
      <c r="Z49" s="378"/>
      <c r="AA49" s="475"/>
      <c r="AB49" s="378"/>
      <c r="AC49" s="33"/>
      <c r="AD49" s="378"/>
      <c r="AE49" s="33"/>
      <c r="AF49" s="33"/>
      <c r="AG49" s="84"/>
      <c r="AH49" s="84">
        <f>SUM(AH44:AH48)</f>
        <v>0</v>
      </c>
      <c r="AI49" s="186">
        <f>SUM(AI44:AI48)</f>
        <v>1</v>
      </c>
      <c r="AJ49" s="33"/>
      <c r="AK49" s="33"/>
      <c r="AL49" s="33"/>
      <c r="AM49" s="33"/>
      <c r="AN49" s="33"/>
      <c r="AO49" s="33"/>
      <c r="AP49" s="33"/>
      <c r="AQ49" s="33"/>
      <c r="AR49" s="33"/>
      <c r="AS49" s="33"/>
      <c r="AT49" s="33"/>
      <c r="AU49" s="33"/>
      <c r="AV49" s="33"/>
      <c r="AW49" s="33"/>
      <c r="AX49" s="33"/>
      <c r="AY49" s="33"/>
    </row>
    <row r="50" spans="15:51" ht="18" x14ac:dyDescent="0.25">
      <c r="O50" s="84"/>
      <c r="P50" s="84"/>
      <c r="Q50" s="84"/>
      <c r="R50" s="33"/>
      <c r="S50" s="85"/>
      <c r="T50" s="63"/>
      <c r="U50" s="421"/>
      <c r="V50" s="63"/>
      <c r="W50" s="473"/>
      <c r="X50" s="421"/>
      <c r="Y50" s="478">
        <v>10000</v>
      </c>
      <c r="Z50" s="378"/>
      <c r="AA50" s="475"/>
      <c r="AB50" s="378"/>
      <c r="AC50" s="33"/>
      <c r="AD50" s="378"/>
      <c r="AE50" s="33"/>
      <c r="AF50" s="33"/>
      <c r="AG50" s="84"/>
      <c r="AH50" s="84"/>
      <c r="AI50" s="186"/>
      <c r="AJ50" s="33"/>
      <c r="AK50" s="33"/>
      <c r="AL50" s="33"/>
      <c r="AM50" s="33"/>
      <c r="AN50" s="33"/>
      <c r="AO50" s="33"/>
      <c r="AP50" s="33"/>
      <c r="AQ50" s="33"/>
      <c r="AR50" s="33"/>
      <c r="AS50" s="33"/>
      <c r="AT50" s="33"/>
      <c r="AU50" s="33"/>
      <c r="AV50" s="33"/>
      <c r="AW50" s="33"/>
      <c r="AX50" s="33"/>
      <c r="AY50" s="33"/>
    </row>
    <row r="51" spans="15:51" ht="18.75" thickBot="1" x14ac:dyDescent="0.3">
      <c r="O51" s="84"/>
      <c r="P51" s="84"/>
      <c r="Q51" s="84"/>
      <c r="R51" s="33"/>
      <c r="S51" s="85"/>
      <c r="T51" s="63"/>
      <c r="U51" s="421"/>
      <c r="V51" s="63"/>
      <c r="W51" s="473"/>
      <c r="X51" s="421"/>
      <c r="Y51" s="479">
        <v>18649.28</v>
      </c>
      <c r="Z51" s="512"/>
      <c r="AA51" s="475"/>
      <c r="AB51" s="512"/>
      <c r="AC51" s="33"/>
      <c r="AD51" s="512"/>
      <c r="AE51" s="33"/>
      <c r="AF51" s="33"/>
      <c r="AG51" s="84"/>
      <c r="AH51" s="84"/>
      <c r="AI51" s="186"/>
      <c r="AJ51" s="33"/>
      <c r="AK51" s="33"/>
      <c r="AL51" s="33"/>
      <c r="AM51" s="33"/>
      <c r="AN51" s="33"/>
      <c r="AO51" s="33"/>
      <c r="AP51" s="33"/>
      <c r="AQ51" s="33"/>
      <c r="AR51" s="33"/>
      <c r="AS51" s="33"/>
      <c r="AT51" s="33"/>
      <c r="AU51" s="33"/>
      <c r="AV51" s="33"/>
      <c r="AW51" s="33"/>
      <c r="AX51" s="33"/>
      <c r="AY51" s="33"/>
    </row>
    <row r="52" spans="15:51" ht="18" x14ac:dyDescent="0.25">
      <c r="O52" s="84"/>
      <c r="P52" s="84"/>
      <c r="Q52" s="84"/>
      <c r="R52" s="33"/>
      <c r="S52" s="85"/>
      <c r="T52" s="63"/>
      <c r="U52" s="421"/>
      <c r="V52" s="63"/>
      <c r="W52" s="473"/>
      <c r="X52" s="421" t="s">
        <v>46</v>
      </c>
      <c r="Y52" s="478">
        <v>10000</v>
      </c>
      <c r="Z52" s="514"/>
      <c r="AA52" s="475"/>
      <c r="AB52" s="514"/>
      <c r="AC52" s="33"/>
      <c r="AD52" s="514"/>
      <c r="AE52" s="33"/>
      <c r="AF52" s="33"/>
      <c r="AG52" s="84"/>
      <c r="AH52" s="84"/>
      <c r="AI52" s="186">
        <f>1-AI49</f>
        <v>0</v>
      </c>
      <c r="AJ52" s="33"/>
      <c r="AK52" s="33"/>
      <c r="AL52" s="33"/>
      <c r="AM52" s="33"/>
      <c r="AN52" s="33"/>
      <c r="AO52" s="33"/>
      <c r="AP52" s="33"/>
      <c r="AQ52" s="33"/>
      <c r="AR52" s="33"/>
      <c r="AS52" s="33"/>
      <c r="AT52" s="33"/>
      <c r="AU52" s="33"/>
      <c r="AV52" s="33"/>
      <c r="AW52" s="33"/>
      <c r="AX52" s="33"/>
      <c r="AY52" s="33"/>
    </row>
    <row r="53" spans="15:51" ht="18" x14ac:dyDescent="0.25">
      <c r="O53" s="84"/>
      <c r="P53" s="84"/>
      <c r="Q53" s="84"/>
      <c r="R53" s="33"/>
      <c r="S53" s="85"/>
      <c r="T53" s="63"/>
      <c r="U53" s="421"/>
      <c r="V53" s="63"/>
      <c r="W53" s="473"/>
      <c r="X53" s="421" t="s">
        <v>47</v>
      </c>
      <c r="Y53" s="478">
        <v>-2905397.57</v>
      </c>
      <c r="Z53" s="303"/>
      <c r="AA53" s="475"/>
      <c r="AB53" s="303"/>
      <c r="AC53" s="33"/>
      <c r="AD53" s="303"/>
      <c r="AE53" s="33"/>
      <c r="AF53" s="33"/>
      <c r="AG53" s="33"/>
      <c r="AH53" s="33"/>
      <c r="AI53" s="33"/>
      <c r="AJ53" s="33"/>
      <c r="AK53" s="33"/>
      <c r="AL53" s="33"/>
      <c r="AM53" s="33"/>
      <c r="AN53" s="33"/>
      <c r="AO53" s="33"/>
      <c r="AP53" s="33"/>
      <c r="AQ53" s="33"/>
      <c r="AR53" s="33"/>
      <c r="AS53" s="33"/>
      <c r="AT53" s="33"/>
      <c r="AU53" s="33"/>
      <c r="AV53" s="33"/>
      <c r="AW53" s="33"/>
      <c r="AX53" s="33"/>
      <c r="AY53" s="33"/>
    </row>
    <row r="54" spans="15:51" ht="18.75" thickBot="1" x14ac:dyDescent="0.3">
      <c r="O54" s="409"/>
      <c r="P54" s="409"/>
      <c r="Q54" s="409"/>
      <c r="R54" s="463"/>
      <c r="S54" s="33"/>
      <c r="T54" s="63"/>
      <c r="U54" s="33"/>
      <c r="V54" s="63"/>
      <c r="W54" s="475"/>
      <c r="X54" s="421"/>
      <c r="Y54" s="480">
        <f>SUM(Y44:Y53)</f>
        <v>15672616.710000001</v>
      </c>
      <c r="Z54" s="303"/>
      <c r="AA54" s="475"/>
      <c r="AB54" s="303"/>
      <c r="AC54" s="33"/>
      <c r="AD54" s="303"/>
      <c r="AE54" s="33"/>
      <c r="AF54" s="33"/>
      <c r="AG54" s="33"/>
      <c r="AH54" s="33"/>
      <c r="AI54" s="33"/>
      <c r="AJ54" s="33"/>
      <c r="AK54" s="33"/>
      <c r="AL54" s="33"/>
      <c r="AM54" s="33"/>
      <c r="AN54" s="33"/>
      <c r="AO54" s="33"/>
      <c r="AP54" s="33"/>
      <c r="AQ54" s="33"/>
      <c r="AR54" s="33"/>
      <c r="AS54" s="33"/>
      <c r="AT54" s="33"/>
      <c r="AU54" s="33"/>
      <c r="AV54" s="33"/>
      <c r="AW54" s="33"/>
      <c r="AX54" s="33"/>
      <c r="AY54" s="33"/>
    </row>
    <row r="55" spans="15:51" ht="18.75" thickTop="1" x14ac:dyDescent="0.25">
      <c r="O55" s="463"/>
      <c r="P55" s="463"/>
      <c r="Q55" s="463"/>
      <c r="R55" s="463"/>
      <c r="S55" s="33"/>
      <c r="T55" s="63"/>
      <c r="U55" s="33"/>
      <c r="V55" s="63"/>
      <c r="W55" s="475"/>
      <c r="X55" s="475"/>
      <c r="Y55" s="475"/>
      <c r="Z55" s="303"/>
      <c r="AA55" s="475"/>
      <c r="AB55" s="303"/>
      <c r="AC55" s="33"/>
      <c r="AD55" s="303"/>
      <c r="AE55" s="33"/>
      <c r="AF55" s="33"/>
      <c r="AG55" s="33"/>
      <c r="AH55" s="33"/>
      <c r="AI55" s="33"/>
      <c r="AJ55" s="33"/>
      <c r="AK55" s="33"/>
      <c r="AL55" s="33"/>
      <c r="AM55" s="33"/>
      <c r="AN55" s="33"/>
      <c r="AO55" s="33"/>
      <c r="AP55" s="33"/>
      <c r="AQ55" s="33"/>
      <c r="AR55" s="33"/>
      <c r="AS55" s="33"/>
      <c r="AT55" s="33"/>
      <c r="AU55" s="33"/>
      <c r="AV55" s="33"/>
      <c r="AW55" s="33"/>
      <c r="AX55" s="33"/>
      <c r="AY55" s="33"/>
    </row>
    <row r="56" spans="15:51" ht="18" x14ac:dyDescent="0.25">
      <c r="O56" s="463"/>
      <c r="P56" s="33"/>
      <c r="Q56" s="33"/>
      <c r="R56" s="33"/>
      <c r="S56" s="33"/>
      <c r="T56" s="63"/>
      <c r="U56" s="33"/>
      <c r="V56" s="481"/>
      <c r="W56" s="482"/>
      <c r="X56" s="482"/>
      <c r="Y56" s="482"/>
      <c r="Z56" s="303"/>
      <c r="AA56" s="475"/>
      <c r="AB56" s="303"/>
      <c r="AC56" s="33"/>
      <c r="AD56" s="303"/>
      <c r="AE56" s="33"/>
      <c r="AF56" s="33"/>
      <c r="AG56" s="33"/>
      <c r="AH56" s="33"/>
      <c r="AI56" s="33"/>
      <c r="AJ56" s="33"/>
      <c r="AK56" s="33"/>
      <c r="AL56" s="33"/>
      <c r="AM56" s="33"/>
      <c r="AN56" s="33"/>
      <c r="AO56" s="33"/>
      <c r="AP56" s="33"/>
      <c r="AQ56" s="33"/>
      <c r="AR56" s="33"/>
      <c r="AS56" s="33"/>
      <c r="AT56" s="33"/>
      <c r="AU56" s="33"/>
      <c r="AV56" s="33"/>
      <c r="AW56" s="33"/>
      <c r="AX56" s="33"/>
      <c r="AY56" s="33"/>
    </row>
    <row r="57" spans="15:51" ht="18" x14ac:dyDescent="0.25">
      <c r="O57" s="463"/>
      <c r="P57" s="33"/>
      <c r="Q57" s="33"/>
      <c r="R57" s="33"/>
      <c r="S57" s="33"/>
      <c r="T57" s="63"/>
      <c r="U57" s="33"/>
      <c r="V57" s="481"/>
      <c r="W57" s="481"/>
      <c r="X57" s="482"/>
      <c r="Y57" s="482">
        <f>+Y54</f>
        <v>15672616.710000001</v>
      </c>
      <c r="Z57" s="303"/>
      <c r="AA57" s="475"/>
      <c r="AB57" s="303"/>
      <c r="AC57" s="33"/>
      <c r="AD57" s="303"/>
      <c r="AE57" s="33"/>
      <c r="AF57" s="33"/>
      <c r="AG57" s="33"/>
      <c r="AH57" s="33"/>
      <c r="AI57" s="33"/>
      <c r="AJ57" s="33"/>
      <c r="AK57" s="33"/>
      <c r="AL57" s="33"/>
      <c r="AM57" s="33"/>
      <c r="AN57" s="33"/>
      <c r="AO57" s="33"/>
      <c r="AP57" s="33"/>
      <c r="AQ57" s="33"/>
      <c r="AR57" s="33"/>
      <c r="AS57" s="33"/>
      <c r="AT57" s="33"/>
      <c r="AU57" s="33"/>
      <c r="AV57" s="33"/>
      <c r="AW57" s="33"/>
      <c r="AX57" s="33"/>
      <c r="AY57" s="33"/>
    </row>
    <row r="58" spans="15:51" ht="18" x14ac:dyDescent="0.25">
      <c r="O58" s="463"/>
      <c r="P58" s="33"/>
      <c r="Q58" s="33"/>
      <c r="R58" s="33"/>
      <c r="S58" s="33"/>
      <c r="T58" s="63"/>
      <c r="U58" s="33"/>
      <c r="V58" s="481"/>
      <c r="W58" s="481"/>
      <c r="X58" s="482"/>
      <c r="Y58" s="482">
        <f>+Y40</f>
        <v>18516442.329999998</v>
      </c>
      <c r="Z58" s="303"/>
      <c r="AA58" s="475"/>
      <c r="AB58" s="303"/>
      <c r="AC58" s="33"/>
      <c r="AD58" s="303"/>
      <c r="AE58" s="33"/>
      <c r="AF58" s="33"/>
      <c r="AG58" s="33"/>
      <c r="AH58" s="33"/>
      <c r="AI58" s="33"/>
      <c r="AJ58" s="33"/>
      <c r="AK58" s="33"/>
      <c r="AL58" s="33"/>
      <c r="AM58" s="33"/>
      <c r="AN58" s="33"/>
      <c r="AO58" s="33"/>
      <c r="AP58" s="33"/>
      <c r="AQ58" s="33"/>
      <c r="AR58" s="33"/>
      <c r="AS58" s="33"/>
      <c r="AT58" s="33"/>
      <c r="AU58" s="33"/>
      <c r="AV58" s="33"/>
      <c r="AW58" s="33"/>
      <c r="AX58" s="33"/>
      <c r="AY58" s="33"/>
    </row>
    <row r="59" spans="15:51" ht="18.75" thickBot="1" x14ac:dyDescent="0.3">
      <c r="O59" s="463"/>
      <c r="P59" s="33"/>
      <c r="Q59" s="33"/>
      <c r="R59" s="33"/>
      <c r="S59" s="33"/>
      <c r="T59" s="63"/>
      <c r="U59" s="33"/>
      <c r="V59" s="481"/>
      <c r="W59" s="481"/>
      <c r="X59" s="482" t="s">
        <v>48</v>
      </c>
      <c r="Y59" s="483">
        <f>SUM(Y57:Y58)</f>
        <v>34189059.039999999</v>
      </c>
      <c r="Z59" s="303"/>
      <c r="AA59" s="475"/>
      <c r="AB59" s="303"/>
      <c r="AC59" s="33"/>
      <c r="AD59" s="303"/>
      <c r="AE59" s="33"/>
      <c r="AF59" s="33"/>
      <c r="AG59" s="33"/>
      <c r="AH59" s="33"/>
      <c r="AI59" s="33"/>
      <c r="AJ59" s="33"/>
      <c r="AK59" s="33"/>
      <c r="AL59" s="33"/>
      <c r="AM59" s="33"/>
      <c r="AN59" s="33"/>
      <c r="AO59" s="33"/>
      <c r="AP59" s="33"/>
      <c r="AQ59" s="33"/>
      <c r="AR59" s="33"/>
      <c r="AS59" s="33"/>
      <c r="AT59" s="33"/>
      <c r="AU59" s="33"/>
      <c r="AV59" s="33"/>
      <c r="AW59" s="33"/>
      <c r="AX59" s="33"/>
      <c r="AY59" s="33"/>
    </row>
    <row r="60" spans="15:51" ht="18.75" thickTop="1" x14ac:dyDescent="0.25">
      <c r="O60" s="463"/>
      <c r="P60" s="33"/>
      <c r="Q60" s="33"/>
      <c r="R60" s="33"/>
      <c r="S60" s="33"/>
      <c r="T60" s="63"/>
      <c r="U60" s="33"/>
      <c r="V60" s="481"/>
      <c r="W60" s="481"/>
      <c r="X60" s="482" t="s">
        <v>49</v>
      </c>
      <c r="Y60" s="482" t="e">
        <f>+#REF!</f>
        <v>#REF!</v>
      </c>
      <c r="Z60" s="248"/>
      <c r="AA60" s="475"/>
      <c r="AB60" s="248"/>
      <c r="AC60" s="33"/>
      <c r="AD60" s="248"/>
      <c r="AE60" s="33"/>
      <c r="AF60" s="33"/>
      <c r="AG60" s="33"/>
      <c r="AH60" s="33"/>
      <c r="AI60" s="33"/>
      <c r="AJ60" s="33"/>
      <c r="AK60" s="33"/>
      <c r="AL60" s="33"/>
      <c r="AM60" s="33"/>
      <c r="AN60" s="33"/>
      <c r="AO60" s="33"/>
      <c r="AP60" s="33"/>
      <c r="AQ60" s="33"/>
      <c r="AR60" s="33"/>
      <c r="AS60" s="33"/>
      <c r="AT60" s="33"/>
      <c r="AU60" s="33"/>
      <c r="AV60" s="33"/>
      <c r="AW60" s="33"/>
      <c r="AX60" s="33"/>
      <c r="AY60" s="33"/>
    </row>
    <row r="61" spans="15:51" ht="18" x14ac:dyDescent="0.25">
      <c r="O61" s="463"/>
      <c r="P61" s="33"/>
      <c r="Q61" s="33"/>
      <c r="R61" s="33"/>
      <c r="S61" s="33"/>
      <c r="T61" s="63"/>
      <c r="U61" s="33"/>
      <c r="V61" s="63"/>
      <c r="W61" s="63"/>
      <c r="X61" s="475"/>
      <c r="Y61" s="475" t="e">
        <f>+Y59-Y60</f>
        <v>#REF!</v>
      </c>
      <c r="Z61" s="436"/>
      <c r="AA61" s="475"/>
      <c r="AB61" s="436"/>
      <c r="AC61" s="33"/>
      <c r="AD61" s="436"/>
      <c r="AE61" s="33"/>
      <c r="AF61" s="33"/>
      <c r="AG61" s="33"/>
      <c r="AH61" s="33"/>
      <c r="AI61" s="33"/>
      <c r="AJ61" s="33"/>
      <c r="AK61" s="33"/>
      <c r="AL61" s="33"/>
      <c r="AM61" s="33"/>
      <c r="AN61" s="33"/>
      <c r="AO61" s="33"/>
      <c r="AP61" s="33"/>
      <c r="AQ61" s="33"/>
      <c r="AR61" s="33"/>
      <c r="AS61" s="33"/>
      <c r="AT61" s="33"/>
      <c r="AU61" s="33"/>
      <c r="AV61" s="33"/>
      <c r="AW61" s="33"/>
      <c r="AX61" s="33"/>
      <c r="AY61" s="33"/>
    </row>
    <row r="62" spans="15:51" ht="18" x14ac:dyDescent="0.25">
      <c r="O62" s="463"/>
      <c r="P62" s="33"/>
      <c r="Q62" s="33"/>
      <c r="R62" s="33"/>
      <c r="S62" s="33"/>
      <c r="T62" s="63"/>
      <c r="U62" s="33"/>
      <c r="V62" s="63"/>
      <c r="W62" s="63"/>
      <c r="X62" s="475"/>
      <c r="Y62" s="475"/>
      <c r="Z62" s="300"/>
      <c r="AA62" s="475"/>
      <c r="AB62" s="300"/>
      <c r="AC62" s="33"/>
      <c r="AD62" s="300"/>
      <c r="AE62" s="33"/>
      <c r="AF62" s="33"/>
      <c r="AG62" s="33"/>
      <c r="AH62" s="33"/>
      <c r="AI62" s="33"/>
      <c r="AJ62" s="33"/>
      <c r="AK62" s="33"/>
      <c r="AL62" s="33"/>
      <c r="AM62" s="33"/>
      <c r="AN62" s="33"/>
      <c r="AO62" s="33"/>
      <c r="AP62" s="33"/>
      <c r="AQ62" s="33"/>
      <c r="AR62" s="33"/>
      <c r="AS62" s="33"/>
      <c r="AT62" s="33"/>
      <c r="AU62" s="33"/>
      <c r="AV62" s="33"/>
      <c r="AW62" s="33"/>
      <c r="AX62" s="33"/>
      <c r="AY62" s="33"/>
    </row>
    <row r="63" spans="15:51" x14ac:dyDescent="0.2">
      <c r="X63" s="485"/>
      <c r="Y63" s="421"/>
      <c r="Z63" s="444"/>
      <c r="AA63" s="485"/>
      <c r="AB63" s="444"/>
      <c r="AD63" s="444"/>
      <c r="AF63" s="33"/>
      <c r="AG63" s="33"/>
      <c r="AH63" s="33"/>
      <c r="AI63" s="33"/>
      <c r="AJ63" s="33"/>
      <c r="AK63" s="33"/>
      <c r="AL63" s="33"/>
      <c r="AM63" s="33"/>
      <c r="AN63" s="33"/>
      <c r="AO63" s="33"/>
      <c r="AP63" s="33"/>
      <c r="AQ63" s="33"/>
      <c r="AR63" s="33"/>
      <c r="AS63" s="33"/>
      <c r="AT63" s="33"/>
      <c r="AU63" s="33"/>
      <c r="AV63" s="33"/>
      <c r="AW63" s="33"/>
      <c r="AX63" s="33"/>
      <c r="AY63" s="33"/>
    </row>
    <row r="64" spans="15:51" x14ac:dyDescent="0.2">
      <c r="X64" s="485"/>
      <c r="Y64" s="485"/>
      <c r="Z64" s="443"/>
      <c r="AA64" s="485"/>
      <c r="AB64" s="443"/>
      <c r="AD64" s="443"/>
      <c r="AF64" s="33"/>
      <c r="AG64" s="33"/>
      <c r="AH64" s="33"/>
      <c r="AI64" s="33"/>
      <c r="AJ64" s="33"/>
      <c r="AK64" s="33"/>
      <c r="AL64" s="33"/>
      <c r="AM64" s="33"/>
      <c r="AN64" s="33"/>
      <c r="AO64" s="33"/>
      <c r="AP64" s="33"/>
      <c r="AQ64" s="33"/>
      <c r="AR64" s="33"/>
      <c r="AS64" s="33"/>
      <c r="AT64" s="33"/>
      <c r="AU64" s="33"/>
      <c r="AV64" s="33"/>
      <c r="AW64" s="33"/>
      <c r="AX64" s="33"/>
      <c r="AY64" s="33"/>
    </row>
    <row r="65" spans="1:36" ht="18.75" thickBot="1" x14ac:dyDescent="0.3">
      <c r="X65" s="485"/>
      <c r="Y65" s="485"/>
      <c r="Z65" s="63"/>
      <c r="AA65" s="485"/>
      <c r="AB65" s="63"/>
      <c r="AD65" s="63"/>
      <c r="AG65" s="33"/>
      <c r="AH65" s="33"/>
      <c r="AI65" s="33"/>
      <c r="AJ65" s="33"/>
    </row>
    <row r="66" spans="1:36" ht="90.75" thickBot="1" x14ac:dyDescent="0.25">
      <c r="A66" s="57" t="s">
        <v>50</v>
      </c>
      <c r="B66" s="486" t="s">
        <v>51</v>
      </c>
      <c r="C66" s="486" t="s">
        <v>52</v>
      </c>
      <c r="D66" s="486" t="s">
        <v>53</v>
      </c>
      <c r="E66" s="486" t="s">
        <v>54</v>
      </c>
      <c r="F66" s="486" t="s">
        <v>55</v>
      </c>
      <c r="G66" s="486" t="s">
        <v>56</v>
      </c>
      <c r="H66" s="486" t="s">
        <v>57</v>
      </c>
      <c r="I66" s="486" t="s">
        <v>58</v>
      </c>
      <c r="J66" s="486" t="s">
        <v>59</v>
      </c>
      <c r="K66" s="487" t="s">
        <v>22</v>
      </c>
      <c r="L66" s="463"/>
      <c r="M66" s="33"/>
      <c r="N66" s="84"/>
      <c r="X66" s="485"/>
      <c r="Y66" s="485"/>
      <c r="Z66" s="458"/>
      <c r="AA66" s="485"/>
      <c r="AB66" s="458"/>
      <c r="AD66" s="458"/>
      <c r="AH66" s="33"/>
    </row>
    <row r="67" spans="1:36" x14ac:dyDescent="0.2">
      <c r="A67" s="58" t="s">
        <v>60</v>
      </c>
      <c r="B67" s="488">
        <f>D83+D84</f>
        <v>0</v>
      </c>
      <c r="C67" s="488">
        <f>O83+O84</f>
        <v>0</v>
      </c>
      <c r="D67" s="488">
        <v>0</v>
      </c>
      <c r="E67" s="488">
        <v>0</v>
      </c>
      <c r="F67" s="488">
        <f>-K83-K84</f>
        <v>0</v>
      </c>
      <c r="G67" s="488">
        <f>B67+C67+D67-E67-F67</f>
        <v>0</v>
      </c>
      <c r="H67" s="488">
        <v>0</v>
      </c>
      <c r="I67" s="488">
        <v>0</v>
      </c>
      <c r="J67" s="489">
        <f>G67-H67+I67</f>
        <v>0</v>
      </c>
      <c r="K67" s="85" t="s">
        <v>61</v>
      </c>
      <c r="L67" s="463"/>
      <c r="M67" s="463"/>
      <c r="N67" s="409"/>
      <c r="X67" s="485"/>
      <c r="Y67" s="485"/>
      <c r="Z67" s="163"/>
      <c r="AA67" s="485"/>
      <c r="AB67" s="163"/>
      <c r="AD67" s="163"/>
    </row>
    <row r="68" spans="1:36" ht="18" x14ac:dyDescent="0.25">
      <c r="A68" s="59"/>
      <c r="B68" s="490"/>
      <c r="C68" s="490"/>
      <c r="D68" s="490"/>
      <c r="E68" s="490"/>
      <c r="F68" s="490"/>
      <c r="G68" s="490" t="s">
        <v>22</v>
      </c>
      <c r="H68" s="490" t="s">
        <v>22</v>
      </c>
      <c r="I68" s="490"/>
      <c r="J68" s="491"/>
      <c r="K68" s="85"/>
      <c r="L68" s="463" t="s">
        <v>62</v>
      </c>
      <c r="M68" s="463">
        <v>11690963.15</v>
      </c>
      <c r="N68" s="463"/>
      <c r="X68" s="485"/>
      <c r="Y68" s="485"/>
      <c r="Z68" s="63"/>
      <c r="AA68" s="485"/>
      <c r="AB68" s="63"/>
      <c r="AD68" s="63"/>
    </row>
    <row r="69" spans="1:36" ht="18" x14ac:dyDescent="0.25">
      <c r="A69" s="59" t="s">
        <v>63</v>
      </c>
      <c r="B69" s="490">
        <f>D87+D88</f>
        <v>0</v>
      </c>
      <c r="C69" s="490">
        <f>O87+O88</f>
        <v>0</v>
      </c>
      <c r="D69" s="490">
        <f>J87</f>
        <v>0</v>
      </c>
      <c r="E69" s="490">
        <f>-F87</f>
        <v>0</v>
      </c>
      <c r="F69" s="490">
        <f>K87+K88</f>
        <v>0</v>
      </c>
      <c r="G69" s="490">
        <f>B69+C69+D69-E69-F69</f>
        <v>0</v>
      </c>
      <c r="H69" s="490">
        <v>0</v>
      </c>
      <c r="I69" s="490">
        <v>0</v>
      </c>
      <c r="J69" s="491">
        <f>G69-H69+I69</f>
        <v>0</v>
      </c>
      <c r="K69" s="85" t="s">
        <v>22</v>
      </c>
      <c r="L69" s="463" t="s">
        <v>64</v>
      </c>
      <c r="M69" s="463">
        <v>-1341441.23</v>
      </c>
      <c r="N69" s="463"/>
      <c r="X69" s="485"/>
      <c r="Y69" s="485"/>
      <c r="Z69" s="63"/>
      <c r="AA69" s="485"/>
      <c r="AB69" s="63"/>
      <c r="AD69" s="63"/>
    </row>
    <row r="70" spans="1:36" ht="18" x14ac:dyDescent="0.25">
      <c r="A70" s="59"/>
      <c r="B70" s="490">
        <f>D90</f>
        <v>0</v>
      </c>
      <c r="C70" s="490" t="s">
        <v>22</v>
      </c>
      <c r="D70" s="491"/>
      <c r="E70" s="491"/>
      <c r="F70" s="491"/>
      <c r="G70" s="490" t="s">
        <v>22</v>
      </c>
      <c r="H70" s="491" t="s">
        <v>22</v>
      </c>
      <c r="I70" s="490" t="s">
        <v>22</v>
      </c>
      <c r="J70" s="491" t="s">
        <v>22</v>
      </c>
      <c r="K70" s="85" t="s">
        <v>22</v>
      </c>
      <c r="L70" s="463" t="s">
        <v>65</v>
      </c>
      <c r="M70" s="463"/>
      <c r="N70" s="463"/>
      <c r="X70" s="485"/>
      <c r="Y70" s="485"/>
      <c r="Z70" s="464"/>
      <c r="AA70" s="485"/>
      <c r="AB70" s="464"/>
      <c r="AD70" s="464"/>
    </row>
    <row r="71" spans="1:36" ht="18" x14ac:dyDescent="0.25">
      <c r="A71" s="59" t="s">
        <v>66</v>
      </c>
      <c r="B71" s="490">
        <f>D91+D92</f>
        <v>0</v>
      </c>
      <c r="C71" s="490">
        <f>O91</f>
        <v>0</v>
      </c>
      <c r="D71" s="490">
        <v>0</v>
      </c>
      <c r="E71" s="490" t="s">
        <v>22</v>
      </c>
      <c r="F71" s="490">
        <f>K91+K92</f>
        <v>0</v>
      </c>
      <c r="G71" s="490" t="e">
        <f>B71+C71+D71-E71-F71</f>
        <v>#VALUE!</v>
      </c>
      <c r="H71" s="490">
        <v>0</v>
      </c>
      <c r="I71" s="490">
        <v>0</v>
      </c>
      <c r="J71" s="491" t="e">
        <f>G71-H71+I71</f>
        <v>#VALUE!</v>
      </c>
      <c r="K71" s="85" t="s">
        <v>22</v>
      </c>
      <c r="L71" s="463" t="s">
        <v>67</v>
      </c>
      <c r="M71" s="463">
        <f>M68+M69</f>
        <v>10349521.92</v>
      </c>
      <c r="N71" s="463"/>
      <c r="X71" s="485"/>
      <c r="Y71" s="485"/>
      <c r="Z71" s="466"/>
      <c r="AA71" s="485"/>
      <c r="AB71" s="466"/>
      <c r="AD71" s="466"/>
    </row>
    <row r="72" spans="1:36" ht="18" x14ac:dyDescent="0.25">
      <c r="A72" s="59"/>
      <c r="B72" s="490"/>
      <c r="C72" s="490"/>
      <c r="D72" s="491"/>
      <c r="E72" s="491" t="s">
        <v>22</v>
      </c>
      <c r="F72" s="491"/>
      <c r="G72" s="490" t="s">
        <v>22</v>
      </c>
      <c r="H72" s="491" t="s">
        <v>22</v>
      </c>
      <c r="I72" s="490" t="s">
        <v>22</v>
      </c>
      <c r="J72" s="491"/>
      <c r="K72" s="85" t="s">
        <v>22</v>
      </c>
      <c r="L72" s="463" t="s">
        <v>68</v>
      </c>
      <c r="M72" s="492">
        <v>1.6400000000000001E-2</v>
      </c>
      <c r="N72" s="463"/>
      <c r="X72" s="485"/>
      <c r="Y72" s="485"/>
      <c r="Z72" s="467"/>
      <c r="AA72" s="485"/>
      <c r="AB72" s="467"/>
      <c r="AD72" s="467"/>
    </row>
    <row r="73" spans="1:36" ht="18" x14ac:dyDescent="0.25">
      <c r="A73" s="59" t="s">
        <v>69</v>
      </c>
      <c r="B73" s="490">
        <f>D96+D97</f>
        <v>0</v>
      </c>
      <c r="C73" s="490">
        <f>O96+O97</f>
        <v>0</v>
      </c>
      <c r="D73" s="490">
        <f>E96+E97+G96</f>
        <v>0</v>
      </c>
      <c r="E73" s="490">
        <v>0</v>
      </c>
      <c r="F73" s="490">
        <f>K96+K97</f>
        <v>0</v>
      </c>
      <c r="G73" s="490">
        <f>B73+C73+D73-E73-F73</f>
        <v>0</v>
      </c>
      <c r="H73" s="490">
        <f>L96</f>
        <v>0</v>
      </c>
      <c r="I73" s="490">
        <f>M75</f>
        <v>55337.334189238361</v>
      </c>
      <c r="J73" s="491">
        <f>G73-H73+I73</f>
        <v>55337.334189238361</v>
      </c>
      <c r="K73" s="85" t="s">
        <v>22</v>
      </c>
      <c r="L73" s="463" t="s">
        <v>70</v>
      </c>
      <c r="M73" s="463"/>
      <c r="N73" s="463"/>
      <c r="X73" s="485"/>
      <c r="Y73" s="485"/>
      <c r="Z73" s="466"/>
      <c r="AA73" s="485"/>
      <c r="AB73" s="466"/>
      <c r="AD73" s="466"/>
    </row>
    <row r="74" spans="1:36" ht="18" x14ac:dyDescent="0.25">
      <c r="A74" s="59" t="s">
        <v>22</v>
      </c>
      <c r="B74" s="490" t="s">
        <v>22</v>
      </c>
      <c r="C74" s="490" t="s">
        <v>22</v>
      </c>
      <c r="D74" s="491"/>
      <c r="E74" s="491" t="s">
        <v>22</v>
      </c>
      <c r="F74" s="491"/>
      <c r="G74" s="490" t="s">
        <v>22</v>
      </c>
      <c r="H74" s="490" t="s">
        <v>22</v>
      </c>
      <c r="I74" s="490" t="s">
        <v>22</v>
      </c>
      <c r="J74" s="491" t="s">
        <v>22</v>
      </c>
      <c r="K74" s="85" t="s">
        <v>22</v>
      </c>
      <c r="L74" s="463" t="s">
        <v>71</v>
      </c>
      <c r="M74" s="463">
        <v>119</v>
      </c>
      <c r="N74" s="463"/>
      <c r="X74" s="485"/>
      <c r="Y74" s="485"/>
      <c r="Z74" s="472"/>
      <c r="AA74" s="485"/>
      <c r="AB74" s="472"/>
      <c r="AD74" s="472"/>
    </row>
    <row r="75" spans="1:36" ht="18" x14ac:dyDescent="0.25">
      <c r="A75" s="59" t="s">
        <v>72</v>
      </c>
      <c r="B75" s="490">
        <v>0</v>
      </c>
      <c r="C75" s="490">
        <v>0</v>
      </c>
      <c r="D75" s="491" t="s">
        <v>22</v>
      </c>
      <c r="E75" s="490"/>
      <c r="F75" s="491">
        <v>0</v>
      </c>
      <c r="G75" s="490">
        <v>0</v>
      </c>
      <c r="H75" s="491">
        <v>0</v>
      </c>
      <c r="I75" s="490">
        <v>0</v>
      </c>
      <c r="J75" s="491">
        <f>G75-H75+I75</f>
        <v>0</v>
      </c>
      <c r="K75" s="85"/>
      <c r="L75" s="463"/>
      <c r="M75" s="463">
        <f>M71*M72*M74/365</f>
        <v>55337.334189238361</v>
      </c>
      <c r="N75" s="463"/>
      <c r="X75" s="485"/>
      <c r="Y75" s="485"/>
      <c r="Z75" s="475"/>
      <c r="AA75" s="485"/>
      <c r="AB75" s="475"/>
      <c r="AD75" s="475"/>
    </row>
    <row r="76" spans="1:36" x14ac:dyDescent="0.2">
      <c r="X76" s="485"/>
      <c r="Y76" s="485"/>
      <c r="Z76" s="84"/>
      <c r="AA76" s="485"/>
      <c r="AB76" s="84"/>
      <c r="AD76" s="84"/>
    </row>
    <row r="77" spans="1:36" ht="18" x14ac:dyDescent="0.25">
      <c r="X77" s="485"/>
      <c r="Y77" s="485"/>
      <c r="Z77" s="475"/>
      <c r="AA77" s="485"/>
      <c r="AB77" s="475"/>
      <c r="AD77" s="475"/>
    </row>
    <row r="78" spans="1:36" x14ac:dyDescent="0.2">
      <c r="X78" s="485"/>
      <c r="Y78" s="485"/>
      <c r="Z78" s="476"/>
      <c r="AA78" s="485"/>
      <c r="AB78" s="476"/>
      <c r="AD78" s="476"/>
    </row>
    <row r="79" spans="1:36" x14ac:dyDescent="0.2">
      <c r="X79" s="485"/>
      <c r="Y79" s="485"/>
      <c r="Z79" s="476"/>
      <c r="AA79" s="485"/>
      <c r="AB79" s="476"/>
      <c r="AD79" s="476"/>
    </row>
    <row r="80" spans="1:36" x14ac:dyDescent="0.2">
      <c r="X80" s="485"/>
      <c r="Y80" s="485"/>
      <c r="Z80" s="476"/>
      <c r="AA80" s="485"/>
      <c r="AB80" s="476"/>
      <c r="AD80" s="476"/>
    </row>
    <row r="81" spans="26:30" x14ac:dyDescent="0.2">
      <c r="Z81" s="477"/>
      <c r="AB81" s="477"/>
      <c r="AD81" s="477"/>
    </row>
    <row r="82" spans="26:30" x14ac:dyDescent="0.2">
      <c r="Z82" s="478"/>
      <c r="AB82" s="478"/>
      <c r="AD82" s="478"/>
    </row>
    <row r="83" spans="26:30" x14ac:dyDescent="0.2">
      <c r="Z83" s="478"/>
      <c r="AB83" s="478"/>
      <c r="AD83" s="478"/>
    </row>
    <row r="84" spans="26:30" x14ac:dyDescent="0.2">
      <c r="Z84" s="478"/>
      <c r="AB84" s="478"/>
      <c r="AD84" s="478"/>
    </row>
    <row r="85" spans="26:30" x14ac:dyDescent="0.2">
      <c r="Z85" s="479"/>
      <c r="AB85" s="479"/>
      <c r="AD85" s="479"/>
    </row>
    <row r="86" spans="26:30" x14ac:dyDescent="0.2">
      <c r="Z86" s="478"/>
      <c r="AB86" s="478"/>
      <c r="AD86" s="478"/>
    </row>
    <row r="87" spans="26:30" x14ac:dyDescent="0.2">
      <c r="Z87" s="478"/>
      <c r="AB87" s="478"/>
      <c r="AD87" s="478"/>
    </row>
    <row r="88" spans="26:30" x14ac:dyDescent="0.2">
      <c r="Z88" s="478"/>
      <c r="AB88" s="478"/>
      <c r="AD88" s="478"/>
    </row>
    <row r="89" spans="26:30" ht="18" x14ac:dyDescent="0.25">
      <c r="Z89" s="475"/>
      <c r="AB89" s="475"/>
      <c r="AD89" s="475"/>
    </row>
    <row r="90" spans="26:30" ht="18" x14ac:dyDescent="0.25">
      <c r="Z90" s="482"/>
      <c r="AB90" s="482"/>
      <c r="AD90" s="482"/>
    </row>
    <row r="91" spans="26:30" ht="18" x14ac:dyDescent="0.25">
      <c r="Z91" s="482"/>
      <c r="AB91" s="482"/>
      <c r="AD91" s="482"/>
    </row>
    <row r="92" spans="26:30" ht="18" x14ac:dyDescent="0.25">
      <c r="Z92" s="482"/>
      <c r="AB92" s="482"/>
      <c r="AD92" s="482"/>
    </row>
    <row r="93" spans="26:30" ht="18" x14ac:dyDescent="0.25">
      <c r="Z93" s="484"/>
      <c r="AB93" s="484"/>
      <c r="AD93" s="484"/>
    </row>
    <row r="94" spans="26:30" ht="18" x14ac:dyDescent="0.25">
      <c r="Z94" s="482"/>
      <c r="AB94" s="482"/>
      <c r="AD94" s="482"/>
    </row>
    <row r="95" spans="26:30" ht="18" x14ac:dyDescent="0.25">
      <c r="Z95" s="475"/>
      <c r="AB95" s="475"/>
      <c r="AD95" s="475"/>
    </row>
    <row r="96" spans="26:30" ht="18" x14ac:dyDescent="0.25">
      <c r="Z96" s="475"/>
      <c r="AB96" s="475"/>
      <c r="AD96" s="475"/>
    </row>
    <row r="97" spans="26:30" x14ac:dyDescent="0.2">
      <c r="Z97" s="421"/>
      <c r="AB97" s="421"/>
      <c r="AD97" s="421"/>
    </row>
    <row r="98" spans="26:30" x14ac:dyDescent="0.2">
      <c r="Z98" s="485"/>
      <c r="AB98" s="485"/>
      <c r="AD98" s="485"/>
    </row>
    <row r="99" spans="26:30" x14ac:dyDescent="0.2">
      <c r="Z99" s="485"/>
      <c r="AB99" s="485"/>
      <c r="AD99" s="485"/>
    </row>
    <row r="100" spans="26:30" x14ac:dyDescent="0.2">
      <c r="Z100" s="485"/>
      <c r="AB100" s="485"/>
      <c r="AD100" s="485"/>
    </row>
    <row r="101" spans="26:30" x14ac:dyDescent="0.2">
      <c r="Z101" s="485"/>
      <c r="AB101" s="485"/>
      <c r="AD101" s="485"/>
    </row>
    <row r="102" spans="26:30" x14ac:dyDescent="0.2">
      <c r="Z102" s="485"/>
      <c r="AB102" s="485"/>
      <c r="AD102" s="485"/>
    </row>
    <row r="103" spans="26:30" x14ac:dyDescent="0.2">
      <c r="Z103" s="485"/>
      <c r="AB103" s="485"/>
      <c r="AD103" s="485"/>
    </row>
    <row r="104" spans="26:30" x14ac:dyDescent="0.2">
      <c r="Z104" s="485"/>
      <c r="AB104" s="485"/>
      <c r="AD104" s="485"/>
    </row>
    <row r="105" spans="26:30" x14ac:dyDescent="0.2">
      <c r="Z105" s="485"/>
      <c r="AB105" s="485"/>
      <c r="AD105" s="485"/>
    </row>
    <row r="106" spans="26:30" x14ac:dyDescent="0.2">
      <c r="Z106" s="485"/>
      <c r="AB106" s="485"/>
      <c r="AD106" s="485"/>
    </row>
    <row r="107" spans="26:30" x14ac:dyDescent="0.2">
      <c r="Z107" s="485"/>
      <c r="AB107" s="485"/>
      <c r="AD107" s="485"/>
    </row>
    <row r="108" spans="26:30" x14ac:dyDescent="0.2">
      <c r="Z108" s="485"/>
      <c r="AB108" s="485"/>
      <c r="AD108" s="485"/>
    </row>
    <row r="109" spans="26:30" x14ac:dyDescent="0.2">
      <c r="Z109" s="485"/>
      <c r="AB109" s="485"/>
      <c r="AD109" s="485"/>
    </row>
    <row r="110" spans="26:30" x14ac:dyDescent="0.2">
      <c r="Z110" s="485"/>
      <c r="AB110" s="485"/>
      <c r="AD110" s="485"/>
    </row>
    <row r="111" spans="26:30" x14ac:dyDescent="0.2">
      <c r="Z111" s="485"/>
      <c r="AB111" s="485"/>
      <c r="AD111" s="485"/>
    </row>
    <row r="112" spans="26:30" x14ac:dyDescent="0.2">
      <c r="Z112" s="485"/>
      <c r="AB112" s="485"/>
      <c r="AD112" s="485"/>
    </row>
    <row r="113" spans="26:30" x14ac:dyDescent="0.2">
      <c r="Z113" s="485"/>
      <c r="AB113" s="485"/>
      <c r="AD113" s="485"/>
    </row>
    <row r="114" spans="26:30" x14ac:dyDescent="0.2">
      <c r="Z114" s="485"/>
      <c r="AB114" s="485"/>
      <c r="AD114" s="485"/>
    </row>
  </sheetData>
  <printOptions horizontalCentered="1"/>
  <pageMargins left="0.71" right="0.46" top="1" bottom="1" header="0.5" footer="0.25"/>
  <pageSetup scale="74" orientation="portrait" r:id="rId1"/>
  <headerFooter alignWithMargins="0">
    <oddHeader>&amp;R&amp;16Exhibit C</oddHead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BN82"/>
  <sheetViews>
    <sheetView zoomScale="90" zoomScaleNormal="90" workbookViewId="0">
      <selection activeCell="AL18" sqref="AL18"/>
    </sheetView>
  </sheetViews>
  <sheetFormatPr defaultColWidth="8.88671875" defaultRowHeight="15" x14ac:dyDescent="0.2"/>
  <cols>
    <col min="1" max="1" width="46.33203125" style="74" bestFit="1" customWidth="1"/>
    <col min="2" max="15" width="8.77734375" style="74" hidden="1" customWidth="1"/>
    <col min="16" max="17" width="15.77734375" style="74" hidden="1" customWidth="1"/>
    <col min="18" max="18" width="14.109375" style="74" hidden="1" customWidth="1"/>
    <col min="19" max="19" width="13.33203125" style="74" hidden="1" customWidth="1"/>
    <col min="20" max="20" width="14.6640625" style="74" hidden="1" customWidth="1"/>
    <col min="21" max="21" width="13.33203125" style="74" hidden="1" customWidth="1"/>
    <col min="22" max="25" width="13.77734375" style="74" hidden="1" customWidth="1"/>
    <col min="26" max="26" width="0.88671875" style="74" customWidth="1"/>
    <col min="27" max="27" width="16.77734375" style="74" customWidth="1"/>
    <col min="28" max="28" width="0.88671875" style="74" customWidth="1"/>
    <col min="29" max="29" width="20.77734375" style="74" customWidth="1"/>
    <col min="30" max="30" width="0.88671875" style="74" customWidth="1"/>
    <col min="31" max="31" width="16.77734375" style="74" customWidth="1"/>
    <col min="32" max="33" width="13.77734375" style="74" customWidth="1"/>
    <col min="34" max="34" width="14.109375" style="74" customWidth="1"/>
    <col min="35" max="35" width="13.88671875" style="74" customWidth="1"/>
    <col min="36" max="36" width="16.33203125" style="74" customWidth="1"/>
    <col min="37" max="37" width="14.77734375" style="74" customWidth="1"/>
    <col min="38" max="51" width="9.6640625" style="74" customWidth="1"/>
    <col min="52" max="16384" width="8.88671875" style="74"/>
  </cols>
  <sheetData>
    <row r="1" spans="1:66" s="10" customFormat="1" ht="30" customHeight="1" x14ac:dyDescent="0.4">
      <c r="A1" s="338" t="s">
        <v>0</v>
      </c>
      <c r="B1" s="339"/>
      <c r="C1" s="339"/>
      <c r="D1" s="339"/>
      <c r="E1" s="339"/>
      <c r="F1" s="339"/>
      <c r="G1" s="339"/>
      <c r="H1" s="339"/>
      <c r="I1" s="339"/>
      <c r="J1" s="339"/>
      <c r="K1" s="339"/>
      <c r="L1" s="339"/>
      <c r="M1" s="339"/>
      <c r="N1" s="339"/>
      <c r="O1" s="339"/>
      <c r="P1" s="339"/>
      <c r="Q1" s="339"/>
      <c r="R1" s="339"/>
      <c r="S1" s="340"/>
      <c r="T1" s="338"/>
      <c r="U1" s="340"/>
      <c r="V1" s="341"/>
      <c r="W1" s="341"/>
      <c r="X1" s="341"/>
      <c r="Y1" s="341"/>
      <c r="Z1" s="341"/>
      <c r="AA1" s="5"/>
      <c r="AB1" s="341"/>
      <c r="AC1" s="342"/>
      <c r="AD1" s="341"/>
      <c r="AE1" s="343"/>
      <c r="AF1" s="9"/>
      <c r="AG1" s="9"/>
      <c r="AH1" s="9"/>
      <c r="AI1" s="9"/>
      <c r="AJ1" s="9"/>
      <c r="AK1" s="9"/>
      <c r="AL1" s="9"/>
      <c r="AM1" s="9"/>
      <c r="AN1" s="9"/>
      <c r="AO1" s="9"/>
      <c r="AP1" s="9"/>
      <c r="AQ1" s="9"/>
      <c r="AR1" s="9"/>
      <c r="AS1" s="9"/>
      <c r="AT1" s="9"/>
      <c r="AU1" s="9"/>
      <c r="AV1" s="9"/>
      <c r="AW1" s="9"/>
      <c r="AX1" s="9"/>
      <c r="AY1" s="9"/>
    </row>
    <row r="2" spans="1:66" s="16" customFormat="1" ht="24.95" customHeight="1" x14ac:dyDescent="0.35">
      <c r="A2" s="344" t="s">
        <v>193</v>
      </c>
      <c r="B2" s="345"/>
      <c r="C2" s="345"/>
      <c r="D2" s="345"/>
      <c r="E2" s="345"/>
      <c r="F2" s="345"/>
      <c r="G2" s="345"/>
      <c r="H2" s="345"/>
      <c r="I2" s="345"/>
      <c r="J2" s="345"/>
      <c r="K2" s="345"/>
      <c r="L2" s="345"/>
      <c r="M2" s="345"/>
      <c r="N2" s="345"/>
      <c r="O2" s="345"/>
      <c r="P2" s="345"/>
      <c r="Q2" s="345"/>
      <c r="R2" s="345"/>
      <c r="S2" s="346"/>
      <c r="T2" s="344"/>
      <c r="U2" s="346"/>
      <c r="V2" s="344"/>
      <c r="W2" s="344"/>
      <c r="X2" s="344"/>
      <c r="Y2" s="344"/>
      <c r="Z2" s="344"/>
      <c r="AA2" s="344"/>
      <c r="AB2" s="344"/>
      <c r="AC2" s="346"/>
      <c r="AD2" s="344"/>
      <c r="AE2" s="346"/>
      <c r="AF2" s="15"/>
      <c r="AG2" s="15"/>
      <c r="AH2" s="15"/>
      <c r="AI2" s="15"/>
      <c r="AJ2" s="15"/>
      <c r="AK2" s="15"/>
      <c r="AL2" s="15"/>
      <c r="AM2" s="15"/>
      <c r="AN2" s="15"/>
      <c r="AO2" s="15"/>
      <c r="AP2" s="15"/>
      <c r="AQ2" s="15"/>
      <c r="AR2" s="15"/>
      <c r="AS2" s="15"/>
      <c r="AT2" s="15"/>
      <c r="AU2" s="15"/>
      <c r="AV2" s="15"/>
      <c r="AW2" s="15"/>
      <c r="AX2" s="15"/>
      <c r="AY2" s="15"/>
    </row>
    <row r="3" spans="1:66" s="23" customFormat="1" ht="14.25" customHeight="1" x14ac:dyDescent="0.4">
      <c r="A3" s="347"/>
      <c r="B3" s="348"/>
      <c r="C3" s="348"/>
      <c r="D3" s="348"/>
      <c r="E3" s="348"/>
      <c r="F3" s="348"/>
      <c r="G3" s="348"/>
      <c r="H3" s="348"/>
      <c r="I3" s="348"/>
      <c r="J3" s="348"/>
      <c r="K3" s="348"/>
      <c r="L3" s="348"/>
      <c r="M3" s="348"/>
      <c r="N3" s="348"/>
      <c r="O3" s="348"/>
      <c r="P3" s="348"/>
      <c r="Q3" s="348"/>
      <c r="R3" s="348"/>
      <c r="S3" s="349"/>
      <c r="T3" s="350"/>
      <c r="U3" s="349"/>
      <c r="V3" s="350"/>
      <c r="W3" s="350"/>
      <c r="X3" s="350"/>
      <c r="Y3" s="350"/>
      <c r="Z3" s="350"/>
      <c r="AA3" s="350"/>
      <c r="AB3" s="350"/>
      <c r="AC3" s="349"/>
      <c r="AD3" s="350"/>
      <c r="AE3" s="349"/>
      <c r="AF3" s="22"/>
      <c r="AG3" s="22"/>
      <c r="AH3" s="22"/>
      <c r="AI3" s="22"/>
      <c r="AJ3" s="22"/>
      <c r="AK3" s="22"/>
      <c r="AL3" s="22"/>
      <c r="AM3" s="22"/>
      <c r="AN3" s="22"/>
      <c r="AO3" s="22"/>
      <c r="AP3" s="22"/>
      <c r="AQ3" s="22"/>
      <c r="AR3" s="22"/>
      <c r="AS3" s="22"/>
      <c r="AT3" s="22"/>
      <c r="AU3" s="22"/>
      <c r="AV3" s="22"/>
      <c r="AW3" s="22"/>
      <c r="AX3" s="22"/>
      <c r="AY3" s="22"/>
    </row>
    <row r="4" spans="1:66" s="29" customFormat="1" ht="20.25" customHeight="1" x14ac:dyDescent="0.3">
      <c r="A4" s="351" t="s">
        <v>204</v>
      </c>
      <c r="B4" s="352"/>
      <c r="C4" s="352"/>
      <c r="D4" s="352"/>
      <c r="E4" s="352"/>
      <c r="F4" s="352"/>
      <c r="G4" s="352"/>
      <c r="H4" s="352"/>
      <c r="I4" s="352"/>
      <c r="J4" s="352"/>
      <c r="K4" s="352"/>
      <c r="L4" s="352"/>
      <c r="M4" s="352"/>
      <c r="N4" s="352"/>
      <c r="O4" s="352"/>
      <c r="P4" s="352"/>
      <c r="Q4" s="352"/>
      <c r="R4" s="352"/>
      <c r="S4" s="353"/>
      <c r="T4" s="63"/>
      <c r="U4" s="353"/>
      <c r="V4" s="63"/>
      <c r="W4" s="63"/>
      <c r="X4" s="63"/>
      <c r="Y4" s="63"/>
      <c r="Z4" s="63"/>
      <c r="AA4" s="63"/>
      <c r="AB4" s="63"/>
      <c r="AC4" s="353"/>
      <c r="AD4" s="63"/>
      <c r="AE4" s="353"/>
      <c r="AF4" s="28"/>
      <c r="AG4" s="28"/>
      <c r="AH4" s="28"/>
      <c r="AI4" s="28"/>
      <c r="AJ4" s="28"/>
      <c r="AK4" s="28"/>
      <c r="AL4" s="28"/>
      <c r="AM4" s="28"/>
      <c r="AN4" s="28"/>
      <c r="AO4" s="28"/>
      <c r="AP4" s="28"/>
      <c r="AQ4" s="28"/>
      <c r="AR4" s="28"/>
      <c r="AS4" s="28"/>
      <c r="AT4" s="28"/>
      <c r="AU4" s="28"/>
      <c r="AV4" s="28"/>
      <c r="AW4" s="28"/>
      <c r="AX4" s="28"/>
      <c r="AY4" s="28"/>
    </row>
    <row r="5" spans="1:66" s="29" customFormat="1" ht="20.25" customHeight="1" x14ac:dyDescent="0.3">
      <c r="A5" s="351" t="s">
        <v>76</v>
      </c>
      <c r="B5" s="352"/>
      <c r="C5" s="352"/>
      <c r="D5" s="352"/>
      <c r="E5" s="352"/>
      <c r="F5" s="352"/>
      <c r="G5" s="352"/>
      <c r="H5" s="352"/>
      <c r="I5" s="352"/>
      <c r="J5" s="352"/>
      <c r="K5" s="352"/>
      <c r="L5" s="352"/>
      <c r="M5" s="352"/>
      <c r="N5" s="352"/>
      <c r="O5" s="352"/>
      <c r="P5" s="352"/>
      <c r="Q5" s="352"/>
      <c r="R5" s="352"/>
      <c r="S5" s="353"/>
      <c r="T5" s="63"/>
      <c r="U5" s="353"/>
      <c r="V5" s="63"/>
      <c r="W5" s="63"/>
      <c r="X5" s="63"/>
      <c r="Y5" s="63"/>
      <c r="Z5" s="63"/>
      <c r="AA5" s="63"/>
      <c r="AB5" s="63"/>
      <c r="AC5" s="353"/>
      <c r="AD5" s="63"/>
      <c r="AE5" s="353"/>
      <c r="AF5" s="28"/>
      <c r="AG5" s="28"/>
      <c r="AH5" s="28"/>
      <c r="AI5" s="28"/>
      <c r="AJ5" s="28"/>
      <c r="AK5" s="28"/>
      <c r="AL5" s="28"/>
      <c r="AM5" s="28"/>
      <c r="AN5" s="28"/>
      <c r="AO5" s="28"/>
      <c r="AP5" s="28"/>
      <c r="AQ5" s="28"/>
      <c r="AR5" s="28"/>
      <c r="AS5" s="28"/>
      <c r="AT5" s="28"/>
      <c r="AU5" s="28"/>
      <c r="AV5" s="28"/>
      <c r="AW5" s="28"/>
      <c r="AX5" s="28"/>
      <c r="AY5" s="28"/>
    </row>
    <row r="6" spans="1:66" ht="18" x14ac:dyDescent="0.25">
      <c r="A6" s="63"/>
      <c r="B6" s="493"/>
      <c r="C6" s="493"/>
      <c r="D6" s="493"/>
      <c r="E6" s="493"/>
      <c r="F6" s="493"/>
      <c r="G6" s="493"/>
      <c r="H6" s="493"/>
      <c r="I6" s="493"/>
      <c r="J6" s="493"/>
      <c r="K6" s="493"/>
      <c r="L6" s="493"/>
      <c r="M6" s="493"/>
      <c r="N6" s="493"/>
      <c r="O6" s="493"/>
      <c r="P6" s="493"/>
      <c r="Q6" s="493"/>
      <c r="R6" s="493"/>
      <c r="S6" s="325"/>
      <c r="T6" s="63"/>
      <c r="U6" s="325"/>
      <c r="V6" s="63"/>
      <c r="W6" s="63"/>
      <c r="X6" s="63"/>
      <c r="Y6" s="63"/>
      <c r="Z6" s="63"/>
      <c r="AA6" s="63"/>
      <c r="AB6" s="63"/>
      <c r="AC6" s="325"/>
      <c r="AD6" s="63"/>
      <c r="AE6" s="325"/>
      <c r="AF6" s="33"/>
      <c r="AG6" s="33"/>
      <c r="AH6" s="33"/>
      <c r="AI6" s="33"/>
      <c r="AJ6" s="33"/>
      <c r="AK6" s="33"/>
      <c r="AL6" s="33"/>
      <c r="AM6" s="33"/>
      <c r="AN6" s="33"/>
      <c r="AO6" s="33"/>
      <c r="AP6" s="33"/>
      <c r="AQ6" s="33"/>
      <c r="AR6" s="33"/>
      <c r="AS6" s="33"/>
      <c r="AT6" s="33"/>
      <c r="AU6" s="33"/>
      <c r="AV6" s="33"/>
      <c r="AW6" s="33"/>
      <c r="AX6" s="33"/>
      <c r="AY6" s="33"/>
    </row>
    <row r="7" spans="1:66" s="36" customFormat="1" ht="20.25" customHeight="1" x14ac:dyDescent="0.3">
      <c r="A7" s="494" t="s">
        <v>8</v>
      </c>
      <c r="B7" s="352"/>
      <c r="C7" s="352"/>
      <c r="D7" s="352"/>
      <c r="E7" s="352"/>
      <c r="F7" s="352"/>
      <c r="G7" s="352"/>
      <c r="H7" s="352"/>
      <c r="I7" s="352"/>
      <c r="J7" s="352"/>
      <c r="K7" s="352"/>
      <c r="L7" s="352"/>
      <c r="M7" s="352"/>
      <c r="N7" s="352"/>
      <c r="O7" s="352"/>
      <c r="P7" s="352"/>
      <c r="Q7" s="352"/>
      <c r="R7" s="352"/>
      <c r="S7" s="353"/>
      <c r="T7" s="63"/>
      <c r="U7" s="353"/>
      <c r="V7" s="63"/>
      <c r="W7" s="63"/>
      <c r="X7" s="63"/>
      <c r="Y7" s="63"/>
      <c r="Z7" s="63"/>
      <c r="AA7" s="63"/>
      <c r="AB7" s="63"/>
      <c r="AC7" s="353"/>
      <c r="AD7" s="63"/>
      <c r="AE7" s="353"/>
      <c r="AF7" s="28"/>
      <c r="AG7" s="28"/>
      <c r="AH7" s="28"/>
      <c r="AI7" s="28"/>
      <c r="AJ7" s="28"/>
      <c r="AK7" s="28"/>
      <c r="AL7" s="28"/>
      <c r="AM7" s="28"/>
      <c r="AN7" s="28"/>
      <c r="AO7" s="28"/>
      <c r="AP7" s="28"/>
      <c r="AQ7" s="28"/>
      <c r="AR7" s="28"/>
      <c r="AS7" s="28"/>
      <c r="AT7" s="35"/>
      <c r="AU7" s="35"/>
      <c r="AV7" s="35"/>
      <c r="AW7" s="35"/>
      <c r="AX7" s="35"/>
      <c r="AY7" s="35"/>
    </row>
    <row r="8" spans="1:66" ht="18.75" thickBot="1" x14ac:dyDescent="0.3">
      <c r="A8" s="110"/>
      <c r="B8" s="495"/>
      <c r="C8" s="495"/>
      <c r="D8" s="495"/>
      <c r="E8" s="496"/>
      <c r="F8" s="495"/>
      <c r="G8" s="495"/>
      <c r="H8" s="495"/>
      <c r="I8" s="495"/>
      <c r="J8" s="495"/>
      <c r="K8" s="497"/>
      <c r="L8" s="497"/>
      <c r="M8" s="497"/>
      <c r="N8" s="497"/>
      <c r="O8" s="497"/>
      <c r="P8" s="497"/>
      <c r="Q8" s="497"/>
      <c r="R8" s="497"/>
      <c r="S8" s="497"/>
      <c r="T8" s="496"/>
      <c r="U8" s="497"/>
      <c r="V8" s="496"/>
      <c r="W8" s="496"/>
      <c r="X8" s="496"/>
      <c r="Y8" s="496"/>
      <c r="Z8" s="498"/>
      <c r="AA8" s="61"/>
      <c r="AB8" s="498"/>
      <c r="AC8" s="300"/>
      <c r="AD8" s="498"/>
      <c r="AE8" s="62"/>
      <c r="AF8" s="33"/>
      <c r="AG8" s="33"/>
      <c r="AH8" s="33"/>
      <c r="AI8" s="33"/>
      <c r="AJ8" s="33"/>
      <c r="AK8" s="33"/>
      <c r="AL8" s="33"/>
      <c r="AM8" s="33"/>
      <c r="AN8" s="33"/>
      <c r="AO8" s="33"/>
      <c r="AP8" s="33"/>
      <c r="AQ8" s="33"/>
      <c r="AR8" s="33"/>
      <c r="AS8" s="33"/>
      <c r="AT8" s="33"/>
      <c r="AU8" s="33"/>
      <c r="AV8" s="33"/>
      <c r="AW8" s="33"/>
      <c r="AX8" s="33"/>
      <c r="AY8" s="33"/>
    </row>
    <row r="9" spans="1:66" s="47" customFormat="1" ht="18.95" customHeight="1" x14ac:dyDescent="0.25">
      <c r="A9" s="640" t="s">
        <v>196</v>
      </c>
      <c r="B9" s="362"/>
      <c r="C9" s="362"/>
      <c r="D9" s="363"/>
      <c r="E9" s="362"/>
      <c r="F9" s="363"/>
      <c r="G9" s="362"/>
      <c r="H9" s="363"/>
      <c r="I9" s="362"/>
      <c r="J9" s="363"/>
      <c r="K9" s="362"/>
      <c r="L9" s="363"/>
      <c r="M9" s="362"/>
      <c r="N9" s="363"/>
      <c r="O9" s="362"/>
      <c r="P9" s="363"/>
      <c r="Q9" s="362"/>
      <c r="R9" s="364"/>
      <c r="S9" s="365"/>
      <c r="T9" s="366"/>
      <c r="U9" s="367"/>
      <c r="V9" s="366"/>
      <c r="W9" s="365"/>
      <c r="X9" s="364"/>
      <c r="Y9" s="367"/>
      <c r="Z9" s="368"/>
      <c r="AA9" s="504" t="s">
        <v>205</v>
      </c>
      <c r="AB9" s="369"/>
      <c r="AC9" s="504" t="s">
        <v>9</v>
      </c>
      <c r="AD9" s="369"/>
      <c r="AE9" s="506" t="s">
        <v>16</v>
      </c>
      <c r="AF9" s="28"/>
      <c r="AG9" s="28"/>
      <c r="AH9" s="28"/>
      <c r="AI9" s="28"/>
      <c r="AJ9" s="28"/>
      <c r="AK9" s="28"/>
      <c r="AL9" s="28"/>
      <c r="AM9" s="28"/>
      <c r="AN9" s="28"/>
      <c r="AO9" s="28"/>
      <c r="AP9" s="28"/>
      <c r="AQ9" s="28"/>
      <c r="AR9" s="28"/>
      <c r="AS9" s="28"/>
      <c r="AT9" s="28"/>
      <c r="AU9" s="28"/>
      <c r="AV9" s="28"/>
      <c r="AW9" s="28"/>
      <c r="AX9" s="28"/>
      <c r="AY9" s="28"/>
    </row>
    <row r="10" spans="1:66" s="47" customFormat="1" ht="18.95" customHeight="1" thickBot="1" x14ac:dyDescent="0.3">
      <c r="A10" s="641"/>
      <c r="B10" s="370" t="s">
        <v>9</v>
      </c>
      <c r="C10" s="371" t="s">
        <v>18</v>
      </c>
      <c r="D10" s="372" t="s">
        <v>9</v>
      </c>
      <c r="E10" s="371" t="s">
        <v>18</v>
      </c>
      <c r="F10" s="372" t="s">
        <v>9</v>
      </c>
      <c r="G10" s="371" t="s">
        <v>18</v>
      </c>
      <c r="H10" s="372" t="s">
        <v>9</v>
      </c>
      <c r="I10" s="371" t="s">
        <v>18</v>
      </c>
      <c r="J10" s="372" t="s">
        <v>9</v>
      </c>
      <c r="K10" s="371" t="s">
        <v>18</v>
      </c>
      <c r="L10" s="372" t="s">
        <v>9</v>
      </c>
      <c r="M10" s="371" t="s">
        <v>18</v>
      </c>
      <c r="N10" s="372" t="s">
        <v>9</v>
      </c>
      <c r="O10" s="371" t="s">
        <v>18</v>
      </c>
      <c r="P10" s="372" t="s">
        <v>9</v>
      </c>
      <c r="Q10" s="371" t="s">
        <v>18</v>
      </c>
      <c r="R10" s="373" t="s">
        <v>19</v>
      </c>
      <c r="S10" s="374" t="s">
        <v>18</v>
      </c>
      <c r="T10" s="375" t="s">
        <v>19</v>
      </c>
      <c r="U10" s="376" t="s">
        <v>18</v>
      </c>
      <c r="V10" s="375" t="s">
        <v>19</v>
      </c>
      <c r="W10" s="374" t="s">
        <v>18</v>
      </c>
      <c r="X10" s="373" t="s">
        <v>19</v>
      </c>
      <c r="Y10" s="376" t="s">
        <v>20</v>
      </c>
      <c r="Z10" s="377"/>
      <c r="AA10" s="505" t="s">
        <v>9</v>
      </c>
      <c r="AB10" s="378"/>
      <c r="AC10" s="505" t="s">
        <v>190</v>
      </c>
      <c r="AD10" s="378"/>
      <c r="AE10" s="505" t="s">
        <v>9</v>
      </c>
      <c r="AF10" s="55"/>
      <c r="AG10" s="55"/>
      <c r="AH10" s="55"/>
      <c r="AI10" s="55"/>
      <c r="AJ10" s="55"/>
      <c r="AK10" s="55"/>
      <c r="AL10" s="55"/>
      <c r="AM10" s="55"/>
      <c r="AN10" s="55"/>
      <c r="AO10" s="55"/>
      <c r="AP10" s="55"/>
      <c r="AQ10" s="55"/>
      <c r="AR10" s="55"/>
      <c r="AS10" s="55"/>
      <c r="AT10" s="55"/>
      <c r="AU10" s="55"/>
      <c r="AV10" s="55"/>
      <c r="AW10" s="55"/>
      <c r="AX10" s="55"/>
      <c r="AY10" s="55"/>
      <c r="AZ10" s="56"/>
      <c r="BA10" s="56"/>
      <c r="BB10" s="56"/>
      <c r="BC10" s="56"/>
      <c r="BD10" s="56"/>
      <c r="BE10" s="56"/>
      <c r="BF10" s="56"/>
      <c r="BG10" s="56"/>
      <c r="BH10" s="56"/>
      <c r="BI10" s="56"/>
      <c r="BJ10" s="56"/>
      <c r="BK10" s="56"/>
      <c r="BL10" s="56"/>
      <c r="BM10" s="56"/>
      <c r="BN10" s="56"/>
    </row>
    <row r="11" spans="1:66" ht="18" hidden="1" x14ac:dyDescent="0.25">
      <c r="A11" s="327"/>
      <c r="B11" s="57"/>
      <c r="C11" s="57"/>
      <c r="D11" s="58"/>
      <c r="E11" s="57"/>
      <c r="F11" s="58"/>
      <c r="G11" s="57"/>
      <c r="H11" s="58"/>
      <c r="I11" s="57"/>
      <c r="J11" s="58"/>
      <c r="K11" s="57"/>
      <c r="L11" s="58"/>
      <c r="M11" s="57"/>
      <c r="N11" s="58"/>
      <c r="O11" s="57"/>
      <c r="P11" s="58"/>
      <c r="Q11" s="57"/>
      <c r="R11" s="59"/>
      <c r="S11" s="60"/>
      <c r="T11" s="61"/>
      <c r="U11" s="62"/>
      <c r="V11" s="61"/>
      <c r="W11" s="60"/>
      <c r="X11" s="63"/>
      <c r="Y11" s="62"/>
      <c r="Z11" s="328"/>
      <c r="AA11" s="64"/>
      <c r="AB11" s="328"/>
      <c r="AC11" s="302"/>
      <c r="AD11" s="329"/>
      <c r="AE11" s="302"/>
      <c r="AF11" s="33"/>
      <c r="AG11" s="33"/>
      <c r="AH11" s="33"/>
      <c r="AI11" s="33"/>
      <c r="AJ11" s="33"/>
      <c r="AK11" s="33"/>
      <c r="AL11" s="33"/>
      <c r="AM11" s="33"/>
      <c r="AN11" s="33"/>
      <c r="AO11" s="33"/>
      <c r="AP11" s="33"/>
      <c r="AQ11" s="33"/>
      <c r="AR11" s="33"/>
      <c r="AS11" s="33"/>
      <c r="AT11" s="33"/>
      <c r="AU11" s="33"/>
      <c r="AV11" s="33"/>
      <c r="AW11" s="33"/>
      <c r="AX11" s="33"/>
      <c r="AY11" s="33"/>
    </row>
    <row r="12" spans="1:66" ht="15.75" thickBot="1" x14ac:dyDescent="0.25">
      <c r="A12" s="379" t="s">
        <v>194</v>
      </c>
      <c r="B12" s="380" t="s">
        <v>22</v>
      </c>
      <c r="C12" s="381">
        <f>20000000-80000</f>
        <v>19920000</v>
      </c>
      <c r="D12" s="382">
        <v>19500000</v>
      </c>
      <c r="E12" s="381" t="e">
        <f>#REF!</f>
        <v>#REF!</v>
      </c>
      <c r="F12" s="382" t="e">
        <f>#REF!</f>
        <v>#REF!</v>
      </c>
      <c r="G12" s="381">
        <v>19806530.539999999</v>
      </c>
      <c r="H12" s="382">
        <v>7405431</v>
      </c>
      <c r="I12" s="381" t="e">
        <f>#REF!</f>
        <v>#REF!</v>
      </c>
      <c r="J12" s="382">
        <v>14588336</v>
      </c>
      <c r="K12" s="381" t="e">
        <f>#REF!</f>
        <v>#REF!</v>
      </c>
      <c r="L12" s="383" t="e">
        <f>#REF!</f>
        <v>#REF!</v>
      </c>
      <c r="M12" s="384" t="e">
        <f>#REF!</f>
        <v>#REF!</v>
      </c>
      <c r="N12" s="382" t="e">
        <f>#REF!</f>
        <v>#REF!</v>
      </c>
      <c r="O12" s="381" t="e">
        <f>+#REF!</f>
        <v>#REF!</v>
      </c>
      <c r="P12" s="382" t="e">
        <f>#REF!</f>
        <v>#REF!</v>
      </c>
      <c r="Q12" s="381" t="e">
        <f>+#REF!</f>
        <v>#REF!</v>
      </c>
      <c r="R12" s="382" t="e">
        <f>#REF!</f>
        <v>#REF!</v>
      </c>
      <c r="S12" s="385" t="e">
        <f>+#REF!</f>
        <v>#REF!</v>
      </c>
      <c r="T12" s="386" t="e">
        <f>+#REF!</f>
        <v>#REF!</v>
      </c>
      <c r="U12" s="380" t="e">
        <f>+#REF!</f>
        <v>#REF!</v>
      </c>
      <c r="V12" s="386" t="e">
        <f>+#REF!</f>
        <v>#REF!</v>
      </c>
      <c r="W12" s="385" t="e">
        <f>+#REF!</f>
        <v>#REF!</v>
      </c>
      <c r="X12" s="387">
        <v>26036150</v>
      </c>
      <c r="Y12" s="380" t="e">
        <f>+#REF!</f>
        <v>#REF!</v>
      </c>
      <c r="Z12" s="388"/>
      <c r="AA12" s="389">
        <v>176195958</v>
      </c>
      <c r="AB12" s="388"/>
      <c r="AC12" s="390">
        <v>0</v>
      </c>
      <c r="AD12" s="391"/>
      <c r="AE12" s="389">
        <f>+AA12+AC12</f>
        <v>176195958</v>
      </c>
      <c r="AF12" s="33"/>
      <c r="AG12" s="308"/>
      <c r="AH12" s="33"/>
      <c r="AI12" s="33"/>
      <c r="AJ12" s="33"/>
      <c r="AK12" s="33"/>
      <c r="AL12" s="33"/>
      <c r="AM12" s="33"/>
      <c r="AN12" s="33"/>
      <c r="AO12" s="33"/>
      <c r="AP12" s="33"/>
      <c r="AQ12" s="33"/>
      <c r="AR12" s="33"/>
      <c r="AS12" s="33"/>
      <c r="AT12" s="33"/>
      <c r="AU12" s="33"/>
      <c r="AV12" s="33"/>
      <c r="AW12" s="33"/>
      <c r="AX12" s="33"/>
      <c r="AY12" s="33"/>
    </row>
    <row r="13" spans="1:66" s="47" customFormat="1" ht="19.5" customHeight="1" thickBot="1" x14ac:dyDescent="0.3">
      <c r="A13" s="508" t="s">
        <v>23</v>
      </c>
      <c r="B13" s="400">
        <f>SUM(B12:B12)</f>
        <v>0</v>
      </c>
      <c r="C13" s="401" t="e">
        <f>#REF!+C12</f>
        <v>#REF!</v>
      </c>
      <c r="D13" s="400">
        <f>SUM(D12:D12)</f>
        <v>19500000</v>
      </c>
      <c r="E13" s="401" t="e">
        <f>SUM(E12:E12)</f>
        <v>#REF!</v>
      </c>
      <c r="F13" s="400" t="e">
        <f>SUM(F12:F12)</f>
        <v>#REF!</v>
      </c>
      <c r="G13" s="401" t="e">
        <f>#REF!+#REF!+#REF!+G12</f>
        <v>#REF!</v>
      </c>
      <c r="H13" s="402">
        <f t="shared" ref="H13:N13" si="0">SUM(H12:H12)</f>
        <v>7405431</v>
      </c>
      <c r="I13" s="403" t="e">
        <f t="shared" si="0"/>
        <v>#REF!</v>
      </c>
      <c r="J13" s="402">
        <f t="shared" si="0"/>
        <v>14588336</v>
      </c>
      <c r="K13" s="403" t="e">
        <f t="shared" si="0"/>
        <v>#REF!</v>
      </c>
      <c r="L13" s="404" t="e">
        <f t="shared" si="0"/>
        <v>#REF!</v>
      </c>
      <c r="M13" s="405" t="e">
        <f t="shared" si="0"/>
        <v>#REF!</v>
      </c>
      <c r="N13" s="402" t="e">
        <f t="shared" si="0"/>
        <v>#REF!</v>
      </c>
      <c r="O13" s="403" t="e">
        <f>+#REF!+#REF!+#REF!+#REF!+O12</f>
        <v>#REF!</v>
      </c>
      <c r="P13" s="402" t="e">
        <f>SUM(P12:P12)</f>
        <v>#REF!</v>
      </c>
      <c r="Q13" s="403" t="e">
        <f>SUM(Q12:Q12)+1</f>
        <v>#REF!</v>
      </c>
      <c r="R13" s="402" t="e">
        <f>SUM(R12:R12)</f>
        <v>#REF!</v>
      </c>
      <c r="S13" s="406" t="e">
        <f>SUM(S12:S12)</f>
        <v>#REF!</v>
      </c>
      <c r="T13" s="403" t="e">
        <f>SUM(T12:T12)</f>
        <v>#REF!</v>
      </c>
      <c r="U13" s="403" t="e">
        <f>SUM(U12:U12)</f>
        <v>#REF!</v>
      </c>
      <c r="V13" s="403" t="e">
        <f>SUM(V12:V12)-1</f>
        <v>#REF!</v>
      </c>
      <c r="W13" s="407" t="e">
        <f>SUM(W11:W12)</f>
        <v>#REF!</v>
      </c>
      <c r="X13" s="402">
        <f>SUM(X11:X12)</f>
        <v>26036150</v>
      </c>
      <c r="Y13" s="403" t="e">
        <f>SUM(Y12:Y12)</f>
        <v>#REF!</v>
      </c>
      <c r="Z13" s="408"/>
      <c r="AA13" s="507">
        <f>SUM(AA12)</f>
        <v>176195958</v>
      </c>
      <c r="AB13" s="408"/>
      <c r="AC13" s="507">
        <f>SUM(AC12)</f>
        <v>0</v>
      </c>
      <c r="AD13" s="408"/>
      <c r="AE13" s="507">
        <f>SUM(AE12)</f>
        <v>176195958</v>
      </c>
      <c r="AF13" s="28"/>
      <c r="AG13" s="28"/>
      <c r="AH13" s="107"/>
      <c r="AI13" s="107"/>
      <c r="AJ13" s="108"/>
      <c r="AK13" s="107"/>
      <c r="AL13" s="109"/>
      <c r="AM13" s="107"/>
      <c r="AN13" s="28"/>
      <c r="AO13" s="28"/>
      <c r="AP13" s="28"/>
      <c r="AQ13" s="28"/>
      <c r="AR13" s="28"/>
      <c r="AS13" s="28"/>
      <c r="AT13" s="28"/>
      <c r="AU13" s="28"/>
      <c r="AV13" s="28"/>
      <c r="AW13" s="28"/>
      <c r="AX13" s="28"/>
      <c r="AY13" s="28"/>
    </row>
    <row r="14" spans="1:66" ht="18.75" thickTop="1" x14ac:dyDescent="0.25">
      <c r="A14" s="303"/>
      <c r="B14" s="296"/>
      <c r="C14" s="296"/>
      <c r="D14" s="296"/>
      <c r="E14" s="296"/>
      <c r="F14" s="296"/>
      <c r="G14" s="296"/>
      <c r="H14" s="296"/>
      <c r="I14" s="296"/>
      <c r="J14" s="296"/>
      <c r="K14" s="296"/>
      <c r="L14" s="296"/>
      <c r="M14" s="296"/>
      <c r="N14" s="296"/>
      <c r="O14" s="296"/>
      <c r="P14" s="296"/>
      <c r="Q14" s="296"/>
      <c r="R14" s="303"/>
      <c r="S14" s="248"/>
      <c r="T14" s="299"/>
      <c r="U14" s="300"/>
      <c r="V14" s="299"/>
      <c r="W14" s="248"/>
      <c r="X14" s="301"/>
      <c r="Y14" s="248"/>
      <c r="Z14" s="248"/>
      <c r="AA14" s="299"/>
      <c r="AB14" s="248"/>
      <c r="AC14" s="299"/>
      <c r="AD14" s="248"/>
      <c r="AE14" s="299"/>
      <c r="AF14" s="248"/>
      <c r="AG14" s="84"/>
      <c r="AH14" s="84"/>
      <c r="AI14" s="84"/>
      <c r="AJ14" s="409"/>
      <c r="AK14" s="84"/>
      <c r="AL14" s="85"/>
      <c r="AM14" s="84"/>
      <c r="AN14" s="33"/>
      <c r="AO14" s="33"/>
      <c r="AP14" s="33"/>
      <c r="AQ14" s="33"/>
      <c r="AR14" s="33"/>
      <c r="AS14" s="33"/>
      <c r="AT14" s="33"/>
      <c r="AU14" s="33"/>
      <c r="AV14" s="33"/>
      <c r="AW14" s="33"/>
      <c r="AX14" s="33"/>
      <c r="AY14" s="33"/>
    </row>
    <row r="15" spans="1:66" ht="18" x14ac:dyDescent="0.25">
      <c r="A15" s="303"/>
      <c r="B15" s="303"/>
      <c r="C15" s="303"/>
      <c r="D15" s="303"/>
      <c r="E15" s="303"/>
      <c r="F15" s="303"/>
      <c r="G15" s="303"/>
      <c r="H15" s="303"/>
      <c r="I15" s="303"/>
      <c r="J15" s="303"/>
      <c r="K15" s="303"/>
      <c r="L15" s="303"/>
      <c r="M15" s="303"/>
      <c r="N15" s="303"/>
      <c r="O15" s="303"/>
      <c r="P15" s="303"/>
      <c r="Q15" s="303"/>
      <c r="R15" s="303"/>
      <c r="S15" s="248"/>
      <c r="T15" s="299"/>
      <c r="U15" s="300"/>
      <c r="V15" s="299"/>
      <c r="W15" s="248"/>
      <c r="X15" s="301"/>
      <c r="Y15" s="248"/>
      <c r="Z15" s="248"/>
      <c r="AA15" s="299"/>
      <c r="AB15" s="248"/>
      <c r="AC15" s="299"/>
      <c r="AD15" s="248"/>
      <c r="AE15" s="299"/>
      <c r="AF15" s="248"/>
      <c r="AG15" s="84"/>
      <c r="AH15" s="84"/>
      <c r="AI15" s="84"/>
      <c r="AJ15" s="409"/>
      <c r="AK15" s="84"/>
      <c r="AL15" s="85"/>
      <c r="AM15" s="84"/>
      <c r="AN15" s="33"/>
      <c r="AO15" s="33"/>
      <c r="AP15" s="33"/>
      <c r="AQ15" s="33"/>
      <c r="AR15" s="33"/>
      <c r="AS15" s="33"/>
      <c r="AT15" s="33"/>
      <c r="AU15" s="33"/>
      <c r="AV15" s="33"/>
      <c r="AW15" s="33"/>
      <c r="AX15" s="33"/>
      <c r="AY15" s="33"/>
    </row>
    <row r="16" spans="1:66" s="36" customFormat="1" ht="20.25" x14ac:dyDescent="0.3">
      <c r="A16" s="357" t="s">
        <v>87</v>
      </c>
      <c r="B16" s="355"/>
      <c r="C16" s="355"/>
      <c r="D16" s="355"/>
      <c r="E16" s="355"/>
      <c r="F16" s="355"/>
      <c r="G16" s="355"/>
      <c r="H16" s="355"/>
      <c r="I16" s="355"/>
      <c r="J16" s="355"/>
      <c r="K16" s="355"/>
      <c r="L16" s="355"/>
      <c r="M16" s="355"/>
      <c r="N16" s="355"/>
      <c r="O16" s="355"/>
      <c r="P16" s="355"/>
      <c r="Q16" s="355"/>
      <c r="R16" s="355"/>
      <c r="S16" s="356"/>
      <c r="T16" s="299"/>
      <c r="U16" s="410"/>
      <c r="V16" s="299"/>
      <c r="W16" s="356"/>
      <c r="X16" s="301"/>
      <c r="Y16" s="356"/>
      <c r="Z16" s="356"/>
      <c r="AA16" s="299"/>
      <c r="AB16" s="356"/>
      <c r="AC16" s="299"/>
      <c r="AD16" s="356"/>
      <c r="AE16" s="299"/>
      <c r="AF16" s="335"/>
      <c r="AG16" s="114"/>
      <c r="AH16" s="114"/>
      <c r="AI16" s="114"/>
      <c r="AJ16" s="114"/>
      <c r="AK16" s="114"/>
      <c r="AL16" s="115"/>
      <c r="AM16" s="114"/>
      <c r="AN16" s="35"/>
      <c r="AO16" s="35"/>
      <c r="AP16" s="35"/>
      <c r="AQ16" s="35"/>
      <c r="AR16" s="35"/>
      <c r="AS16" s="35"/>
      <c r="AT16" s="35"/>
      <c r="AU16" s="35"/>
      <c r="AV16" s="35"/>
      <c r="AW16" s="35"/>
      <c r="AX16" s="35"/>
      <c r="AY16" s="35"/>
    </row>
    <row r="17" spans="1:66" ht="18.75" thickBot="1" x14ac:dyDescent="0.3">
      <c r="A17" s="358"/>
      <c r="B17" s="411"/>
      <c r="C17" s="411"/>
      <c r="D17" s="411"/>
      <c r="E17" s="301"/>
      <c r="F17" s="411"/>
      <c r="G17" s="411"/>
      <c r="H17" s="411"/>
      <c r="I17" s="411"/>
      <c r="J17" s="411"/>
      <c r="K17" s="411"/>
      <c r="L17" s="411"/>
      <c r="M17" s="411"/>
      <c r="N17" s="411"/>
      <c r="O17" s="411"/>
      <c r="P17" s="411"/>
      <c r="Q17" s="411"/>
      <c r="R17" s="411"/>
      <c r="S17" s="360"/>
      <c r="T17" s="359"/>
      <c r="U17" s="360"/>
      <c r="V17" s="359"/>
      <c r="W17" s="360"/>
      <c r="X17" s="359"/>
      <c r="Y17" s="360"/>
      <c r="Z17" s="412"/>
      <c r="AA17" s="359"/>
      <c r="AB17" s="412"/>
      <c r="AC17" s="361"/>
      <c r="AD17" s="412"/>
      <c r="AE17" s="361"/>
      <c r="AF17" s="248"/>
      <c r="AG17" s="84"/>
      <c r="AH17" s="84"/>
      <c r="AI17" s="84"/>
      <c r="AJ17" s="409"/>
      <c r="AK17" s="84"/>
      <c r="AL17" s="85"/>
      <c r="AM17" s="33"/>
      <c r="AN17" s="33"/>
      <c r="AO17" s="33"/>
      <c r="AP17" s="33"/>
      <c r="AQ17" s="33"/>
      <c r="AR17" s="33"/>
      <c r="AS17" s="33"/>
      <c r="AT17" s="33"/>
      <c r="AU17" s="33"/>
      <c r="AV17" s="33"/>
      <c r="AW17" s="33"/>
      <c r="AX17" s="33"/>
      <c r="AY17" s="33"/>
    </row>
    <row r="18" spans="1:66" s="47" customFormat="1" ht="18.95" customHeight="1" x14ac:dyDescent="0.25">
      <c r="A18" s="638" t="s">
        <v>198</v>
      </c>
      <c r="B18" s="363"/>
      <c r="C18" s="362"/>
      <c r="D18" s="363"/>
      <c r="E18" s="362"/>
      <c r="F18" s="363"/>
      <c r="G18" s="362"/>
      <c r="H18" s="363"/>
      <c r="I18" s="362"/>
      <c r="J18" s="363"/>
      <c r="K18" s="362"/>
      <c r="L18" s="363"/>
      <c r="M18" s="362"/>
      <c r="N18" s="363"/>
      <c r="O18" s="362"/>
      <c r="P18" s="363"/>
      <c r="Q18" s="362"/>
      <c r="R18" s="364"/>
      <c r="S18" s="365"/>
      <c r="T18" s="366"/>
      <c r="U18" s="367"/>
      <c r="V18" s="366"/>
      <c r="W18" s="365"/>
      <c r="X18" s="364"/>
      <c r="Y18" s="367"/>
      <c r="Z18" s="369"/>
      <c r="AA18" s="509" t="s">
        <v>205</v>
      </c>
      <c r="AB18" s="369"/>
      <c r="AC18" s="509" t="s">
        <v>9</v>
      </c>
      <c r="AD18" s="369"/>
      <c r="AE18" s="509" t="s">
        <v>16</v>
      </c>
      <c r="AF18" s="330"/>
      <c r="AG18" s="28"/>
      <c r="AH18" s="28"/>
      <c r="AI18" s="331"/>
      <c r="AJ18" s="28"/>
      <c r="AK18" s="28"/>
      <c r="AL18" s="28"/>
      <c r="AM18" s="28"/>
      <c r="AN18" s="28"/>
      <c r="AO18" s="28"/>
      <c r="AP18" s="28"/>
      <c r="AQ18" s="28"/>
      <c r="AR18" s="28"/>
      <c r="AS18" s="28"/>
      <c r="AT18" s="28"/>
      <c r="AU18" s="28"/>
      <c r="AV18" s="28"/>
      <c r="AW18" s="28"/>
      <c r="AX18" s="28"/>
      <c r="AY18" s="28"/>
    </row>
    <row r="19" spans="1:66" s="47" customFormat="1" ht="18.95" customHeight="1" thickBot="1" x14ac:dyDescent="0.3">
      <c r="A19" s="639"/>
      <c r="B19" s="372" t="s">
        <v>9</v>
      </c>
      <c r="C19" s="371" t="s">
        <v>18</v>
      </c>
      <c r="D19" s="372" t="s">
        <v>9</v>
      </c>
      <c r="E19" s="371" t="s">
        <v>18</v>
      </c>
      <c r="F19" s="372" t="s">
        <v>9</v>
      </c>
      <c r="G19" s="371" t="s">
        <v>18</v>
      </c>
      <c r="H19" s="372" t="s">
        <v>9</v>
      </c>
      <c r="I19" s="371" t="s">
        <v>18</v>
      </c>
      <c r="J19" s="372" t="s">
        <v>9</v>
      </c>
      <c r="K19" s="371" t="s">
        <v>18</v>
      </c>
      <c r="L19" s="372" t="s">
        <v>9</v>
      </c>
      <c r="M19" s="371" t="s">
        <v>18</v>
      </c>
      <c r="N19" s="372" t="s">
        <v>9</v>
      </c>
      <c r="O19" s="371" t="s">
        <v>18</v>
      </c>
      <c r="P19" s="372" t="s">
        <v>9</v>
      </c>
      <c r="Q19" s="371" t="s">
        <v>18</v>
      </c>
      <c r="R19" s="373" t="s">
        <v>19</v>
      </c>
      <c r="S19" s="374" t="s">
        <v>18</v>
      </c>
      <c r="T19" s="375" t="s">
        <v>19</v>
      </c>
      <c r="U19" s="376" t="s">
        <v>18</v>
      </c>
      <c r="V19" s="375" t="s">
        <v>19</v>
      </c>
      <c r="W19" s="374" t="s">
        <v>18</v>
      </c>
      <c r="X19" s="373" t="s">
        <v>19</v>
      </c>
      <c r="Y19" s="376" t="s">
        <v>20</v>
      </c>
      <c r="Z19" s="378"/>
      <c r="AA19" s="505" t="s">
        <v>9</v>
      </c>
      <c r="AB19" s="378"/>
      <c r="AC19" s="505" t="s">
        <v>190</v>
      </c>
      <c r="AD19" s="378"/>
      <c r="AE19" s="505" t="s">
        <v>9</v>
      </c>
      <c r="AF19" s="336"/>
      <c r="AG19" s="55"/>
      <c r="AH19" s="55"/>
      <c r="AI19" s="332"/>
      <c r="AJ19" s="55"/>
      <c r="AK19" s="55"/>
      <c r="AL19" s="55"/>
      <c r="AM19" s="55"/>
      <c r="AN19" s="55"/>
      <c r="AO19" s="55"/>
      <c r="AP19" s="55"/>
      <c r="AQ19" s="55"/>
      <c r="AR19" s="55"/>
      <c r="AS19" s="55"/>
      <c r="AT19" s="55"/>
      <c r="AU19" s="55"/>
      <c r="AV19" s="55"/>
      <c r="AW19" s="55"/>
      <c r="AX19" s="55"/>
      <c r="AY19" s="55"/>
      <c r="AZ19" s="56"/>
      <c r="BA19" s="56"/>
      <c r="BB19" s="56"/>
      <c r="BC19" s="56"/>
      <c r="BD19" s="56"/>
      <c r="BE19" s="56"/>
      <c r="BF19" s="56"/>
      <c r="BG19" s="56"/>
      <c r="BH19" s="56"/>
      <c r="BI19" s="56"/>
      <c r="BJ19" s="56"/>
      <c r="BK19" s="56"/>
      <c r="BL19" s="56"/>
      <c r="BM19" s="56"/>
      <c r="BN19" s="56"/>
    </row>
    <row r="20" spans="1:66" ht="18" hidden="1" x14ac:dyDescent="0.25">
      <c r="A20" s="327"/>
      <c r="B20" s="57"/>
      <c r="C20" s="57"/>
      <c r="D20" s="58"/>
      <c r="E20" s="57"/>
      <c r="F20" s="58"/>
      <c r="G20" s="57"/>
      <c r="H20" s="58"/>
      <c r="I20" s="57"/>
      <c r="J20" s="58"/>
      <c r="K20" s="57"/>
      <c r="L20" s="58"/>
      <c r="M20" s="57"/>
      <c r="N20" s="58"/>
      <c r="O20" s="57"/>
      <c r="P20" s="58"/>
      <c r="Q20" s="57"/>
      <c r="R20" s="58"/>
      <c r="S20" s="413"/>
      <c r="T20" s="61"/>
      <c r="U20" s="414"/>
      <c r="V20" s="61"/>
      <c r="W20" s="413"/>
      <c r="X20" s="63"/>
      <c r="Y20" s="414"/>
      <c r="Z20" s="324"/>
      <c r="AA20" s="64"/>
      <c r="AB20" s="324"/>
      <c r="AC20" s="302"/>
      <c r="AD20" s="324"/>
      <c r="AE20" s="302"/>
      <c r="AF20" s="248"/>
      <c r="AG20" s="84"/>
      <c r="AH20" s="55"/>
      <c r="AI20" s="332"/>
      <c r="AJ20" s="55"/>
      <c r="AK20" s="84"/>
      <c r="AL20" s="33"/>
      <c r="AM20" s="33"/>
      <c r="AN20" s="33"/>
      <c r="AO20" s="33"/>
      <c r="AP20" s="33"/>
      <c r="AQ20" s="33"/>
      <c r="AR20" s="33"/>
      <c r="AS20" s="33"/>
      <c r="AT20" s="33"/>
      <c r="AU20" s="33"/>
      <c r="AV20" s="33"/>
      <c r="AW20" s="33"/>
      <c r="AX20" s="33"/>
      <c r="AY20" s="33"/>
    </row>
    <row r="21" spans="1:66" x14ac:dyDescent="0.2">
      <c r="A21" s="395" t="s">
        <v>177</v>
      </c>
      <c r="B21" s="380" t="s">
        <v>22</v>
      </c>
      <c r="C21" s="381">
        <v>212358.34</v>
      </c>
      <c r="D21" s="382">
        <v>9427000</v>
      </c>
      <c r="E21" s="381">
        <v>4714679.59</v>
      </c>
      <c r="F21" s="382">
        <v>13551000</v>
      </c>
      <c r="G21" s="381">
        <v>10502477.699999999</v>
      </c>
      <c r="H21" s="382">
        <v>10312802</v>
      </c>
      <c r="I21" s="381">
        <f>7978052.77-2060188.43-198035.7+198035.7</f>
        <v>5917864.3399999999</v>
      </c>
      <c r="J21" s="382">
        <v>13817964.67</v>
      </c>
      <c r="K21" s="381">
        <v>12504314</v>
      </c>
      <c r="L21" s="383">
        <v>9357442</v>
      </c>
      <c r="M21" s="384">
        <f>2907095.24+1113+2228.87-9950-35997.67+3244.46</f>
        <v>2867733.9000000004</v>
      </c>
      <c r="N21" s="382">
        <v>10200911.35</v>
      </c>
      <c r="O21" s="381">
        <f>3058.44+1052325.78+314341.12+537609.88+11643+417763.5+412122.66+556.5+3896.82</f>
        <v>2753317.6999999997</v>
      </c>
      <c r="P21" s="382">
        <v>1891155.55</v>
      </c>
      <c r="Q21" s="381">
        <f>-858.34+388568.51+110910.34+74000+42458.47+1966501.5+42013.42+556.5</f>
        <v>2624150.4</v>
      </c>
      <c r="R21" s="382">
        <v>6206571.6399999997</v>
      </c>
      <c r="S21" s="385">
        <f>1893.96+298814.13+401826.75+4305+9070+423481.91+10818.76+556.5</f>
        <v>1150767.01</v>
      </c>
      <c r="T21" s="386">
        <v>7905942.7000000002</v>
      </c>
      <c r="U21" s="415">
        <f>3388475.94-262-262-46683.75-1902.75</f>
        <v>3339365.44</v>
      </c>
      <c r="V21" s="416">
        <v>16995296</v>
      </c>
      <c r="W21" s="417" t="e">
        <f>11215692.04+556.5-#REF!-3072.99-20000-100000-158544-61934.46-279164.53</f>
        <v>#REF!</v>
      </c>
      <c r="X21" s="418">
        <v>12229170</v>
      </c>
      <c r="Y21" s="415">
        <f>11424387.8+2905397.57-5521606-11424387.8+11971584.13</f>
        <v>9355375.7000000011</v>
      </c>
      <c r="Z21" s="397"/>
      <c r="AA21" s="499">
        <v>11098940</v>
      </c>
      <c r="AB21" s="397"/>
      <c r="AC21" s="500">
        <v>75000</v>
      </c>
      <c r="AD21" s="397"/>
      <c r="AE21" s="500">
        <f>+AA21+AC21</f>
        <v>11173940</v>
      </c>
      <c r="AF21" s="337"/>
      <c r="AG21" s="84"/>
      <c r="AH21" s="84"/>
      <c r="AI21" s="333"/>
      <c r="AJ21" s="84"/>
      <c r="AL21" s="33"/>
      <c r="AM21" s="33"/>
      <c r="AN21" s="33"/>
      <c r="AO21" s="33"/>
      <c r="AP21" s="33"/>
      <c r="AQ21" s="33"/>
      <c r="AR21" s="33"/>
      <c r="AS21" s="33"/>
      <c r="AT21" s="33"/>
      <c r="AU21" s="33"/>
      <c r="AV21" s="33"/>
      <c r="AW21" s="33"/>
      <c r="AX21" s="33"/>
      <c r="AY21" s="33"/>
    </row>
    <row r="22" spans="1:66" x14ac:dyDescent="0.2">
      <c r="A22" s="395" t="s">
        <v>178</v>
      </c>
      <c r="B22" s="380"/>
      <c r="C22" s="381"/>
      <c r="D22" s="382"/>
      <c r="E22" s="381"/>
      <c r="F22" s="382"/>
      <c r="G22" s="381"/>
      <c r="H22" s="382"/>
      <c r="I22" s="381"/>
      <c r="J22" s="382"/>
      <c r="K22" s="381"/>
      <c r="L22" s="383"/>
      <c r="M22" s="384"/>
      <c r="N22" s="382"/>
      <c r="O22" s="381"/>
      <c r="P22" s="382"/>
      <c r="Q22" s="381"/>
      <c r="R22" s="382"/>
      <c r="S22" s="385"/>
      <c r="T22" s="386"/>
      <c r="U22" s="415"/>
      <c r="V22" s="416"/>
      <c r="W22" s="417"/>
      <c r="X22" s="419">
        <v>-5477772</v>
      </c>
      <c r="Y22" s="420">
        <f>+X22</f>
        <v>-5477772</v>
      </c>
      <c r="Z22" s="397"/>
      <c r="AA22" s="396">
        <v>1517297.5</v>
      </c>
      <c r="AB22" s="397"/>
      <c r="AC22" s="434">
        <v>5738</v>
      </c>
      <c r="AD22" s="397"/>
      <c r="AE22" s="434">
        <f t="shared" ref="AE22:AE26" si="1">+AA22+AC22</f>
        <v>1523035.5</v>
      </c>
      <c r="AF22" s="337"/>
      <c r="AG22" s="84"/>
      <c r="AH22" s="84"/>
      <c r="AI22" s="333"/>
      <c r="AJ22" s="84"/>
      <c r="AL22" s="33"/>
      <c r="AM22" s="33"/>
      <c r="AN22" s="33"/>
      <c r="AO22" s="33"/>
      <c r="AP22" s="33"/>
      <c r="AQ22" s="33"/>
      <c r="AR22" s="33"/>
      <c r="AS22" s="33"/>
      <c r="AT22" s="33"/>
      <c r="AU22" s="33"/>
      <c r="AV22" s="33"/>
      <c r="AW22" s="33"/>
      <c r="AX22" s="33"/>
      <c r="AY22" s="33"/>
    </row>
    <row r="23" spans="1:66" x14ac:dyDescent="0.2">
      <c r="A23" s="395" t="s">
        <v>179</v>
      </c>
      <c r="B23" s="380"/>
      <c r="C23" s="421"/>
      <c r="D23" s="59"/>
      <c r="E23" s="421"/>
      <c r="F23" s="59"/>
      <c r="G23" s="421"/>
      <c r="H23" s="59"/>
      <c r="I23" s="110"/>
      <c r="J23" s="421"/>
      <c r="K23" s="421"/>
      <c r="L23" s="422"/>
      <c r="M23" s="423"/>
      <c r="N23" s="59"/>
      <c r="O23" s="421"/>
      <c r="P23" s="59"/>
      <c r="Q23" s="421"/>
      <c r="R23" s="59"/>
      <c r="S23" s="424"/>
      <c r="T23" s="425"/>
      <c r="U23" s="110"/>
      <c r="V23" s="425"/>
      <c r="W23" s="426"/>
      <c r="X23" s="427"/>
      <c r="Y23" s="428"/>
      <c r="Z23" s="397"/>
      <c r="AA23" s="396">
        <v>24817314.5</v>
      </c>
      <c r="AB23" s="397"/>
      <c r="AC23" s="434">
        <v>-80738</v>
      </c>
      <c r="AD23" s="397"/>
      <c r="AE23" s="434">
        <f t="shared" si="1"/>
        <v>24736576.5</v>
      </c>
      <c r="AF23" s="248"/>
      <c r="AG23" s="84"/>
      <c r="AL23" s="33"/>
      <c r="AM23" s="33"/>
      <c r="AN23" s="33"/>
      <c r="AO23" s="33"/>
      <c r="AP23" s="33"/>
      <c r="AQ23" s="33"/>
      <c r="AR23" s="33"/>
      <c r="AS23" s="33"/>
      <c r="AT23" s="33"/>
      <c r="AU23" s="33"/>
      <c r="AV23" s="33"/>
      <c r="AW23" s="33"/>
      <c r="AX23" s="33"/>
      <c r="AY23" s="33"/>
    </row>
    <row r="24" spans="1:66" x14ac:dyDescent="0.2">
      <c r="A24" s="395" t="s">
        <v>180</v>
      </c>
      <c r="B24" s="380"/>
      <c r="C24" s="421"/>
      <c r="D24" s="59"/>
      <c r="E24" s="421"/>
      <c r="F24" s="59"/>
      <c r="G24" s="421"/>
      <c r="H24" s="59"/>
      <c r="I24" s="110"/>
      <c r="J24" s="421"/>
      <c r="K24" s="421"/>
      <c r="L24" s="422"/>
      <c r="M24" s="423"/>
      <c r="N24" s="59"/>
      <c r="O24" s="421"/>
      <c r="P24" s="59"/>
      <c r="Q24" s="421"/>
      <c r="R24" s="59"/>
      <c r="S24" s="424"/>
      <c r="T24" s="425"/>
      <c r="U24" s="110"/>
      <c r="V24" s="425"/>
      <c r="W24" s="426"/>
      <c r="X24" s="427"/>
      <c r="Y24" s="428"/>
      <c r="Z24" s="429"/>
      <c r="AA24" s="396">
        <v>33670</v>
      </c>
      <c r="AB24" s="429"/>
      <c r="AC24" s="434">
        <v>0</v>
      </c>
      <c r="AD24" s="429"/>
      <c r="AE24" s="434">
        <f t="shared" si="1"/>
        <v>33670</v>
      </c>
      <c r="AF24" s="248"/>
      <c r="AG24" s="84"/>
      <c r="AI24" s="334"/>
      <c r="AL24" s="33"/>
      <c r="AM24" s="33"/>
      <c r="AN24" s="33"/>
      <c r="AO24" s="33"/>
      <c r="AP24" s="33"/>
      <c r="AQ24" s="33"/>
      <c r="AR24" s="33"/>
      <c r="AS24" s="33"/>
      <c r="AT24" s="33"/>
      <c r="AU24" s="33"/>
      <c r="AV24" s="33"/>
      <c r="AW24" s="33"/>
      <c r="AX24" s="33"/>
      <c r="AY24" s="33"/>
    </row>
    <row r="25" spans="1:66" x14ac:dyDescent="0.2">
      <c r="A25" s="395" t="s">
        <v>181</v>
      </c>
      <c r="B25" s="380"/>
      <c r="C25" s="421"/>
      <c r="D25" s="59"/>
      <c r="E25" s="421"/>
      <c r="F25" s="59"/>
      <c r="G25" s="421"/>
      <c r="H25" s="59"/>
      <c r="I25" s="110"/>
      <c r="J25" s="421"/>
      <c r="K25" s="421"/>
      <c r="L25" s="422"/>
      <c r="M25" s="423"/>
      <c r="N25" s="59"/>
      <c r="O25" s="421"/>
      <c r="P25" s="59"/>
      <c r="Q25" s="421"/>
      <c r="R25" s="59"/>
      <c r="S25" s="424"/>
      <c r="T25" s="425"/>
      <c r="U25" s="110"/>
      <c r="V25" s="425"/>
      <c r="W25" s="426"/>
      <c r="X25" s="427"/>
      <c r="Y25" s="428"/>
      <c r="Z25" s="429"/>
      <c r="AA25" s="396">
        <v>5436764</v>
      </c>
      <c r="AB25" s="429"/>
      <c r="AC25" s="434">
        <v>0</v>
      </c>
      <c r="AD25" s="429"/>
      <c r="AE25" s="434">
        <f t="shared" si="1"/>
        <v>5436764</v>
      </c>
      <c r="AF25" s="248"/>
      <c r="AG25" s="84"/>
      <c r="AK25" s="84"/>
      <c r="AL25" s="33"/>
      <c r="AM25" s="33"/>
      <c r="AN25" s="33"/>
      <c r="AO25" s="33"/>
      <c r="AP25" s="33"/>
      <c r="AQ25" s="33"/>
      <c r="AR25" s="33"/>
      <c r="AS25" s="33"/>
      <c r="AT25" s="33"/>
      <c r="AU25" s="33"/>
      <c r="AV25" s="33"/>
      <c r="AW25" s="33"/>
      <c r="AX25" s="33"/>
      <c r="AY25" s="33"/>
    </row>
    <row r="26" spans="1:66" ht="15.75" thickBot="1" x14ac:dyDescent="0.25">
      <c r="A26" s="395" t="s">
        <v>195</v>
      </c>
      <c r="B26" s="380"/>
      <c r="C26" s="421"/>
      <c r="D26" s="59"/>
      <c r="E26" s="421"/>
      <c r="F26" s="59"/>
      <c r="G26" s="421"/>
      <c r="H26" s="59"/>
      <c r="I26" s="110"/>
      <c r="J26" s="421"/>
      <c r="K26" s="421"/>
      <c r="L26" s="422"/>
      <c r="M26" s="423"/>
      <c r="N26" s="59"/>
      <c r="O26" s="421"/>
      <c r="P26" s="59"/>
      <c r="Q26" s="421"/>
      <c r="R26" s="59"/>
      <c r="S26" s="424"/>
      <c r="T26" s="425"/>
      <c r="U26" s="110"/>
      <c r="V26" s="425"/>
      <c r="W26" s="426"/>
      <c r="X26" s="427"/>
      <c r="Y26" s="428"/>
      <c r="Z26" s="429"/>
      <c r="AA26" s="396">
        <v>133291972</v>
      </c>
      <c r="AB26" s="429"/>
      <c r="AC26" s="434">
        <v>0</v>
      </c>
      <c r="AD26" s="429"/>
      <c r="AE26" s="434">
        <f t="shared" si="1"/>
        <v>133291972</v>
      </c>
      <c r="AF26" s="248"/>
      <c r="AG26" s="84"/>
      <c r="AK26" s="84"/>
      <c r="AL26" s="33"/>
      <c r="AM26" s="33"/>
      <c r="AN26" s="33"/>
      <c r="AO26" s="33"/>
      <c r="AP26" s="33"/>
      <c r="AQ26" s="33"/>
      <c r="AR26" s="33"/>
      <c r="AS26" s="33"/>
      <c r="AT26" s="33"/>
      <c r="AU26" s="33"/>
      <c r="AV26" s="33"/>
      <c r="AW26" s="33"/>
      <c r="AX26" s="33"/>
      <c r="AY26" s="33"/>
    </row>
    <row r="27" spans="1:66" s="47" customFormat="1" ht="19.5" customHeight="1" thickBot="1" x14ac:dyDescent="0.3">
      <c r="A27" s="508" t="s">
        <v>182</v>
      </c>
      <c r="B27" s="400"/>
      <c r="C27" s="401"/>
      <c r="D27" s="400"/>
      <c r="E27" s="401"/>
      <c r="F27" s="400"/>
      <c r="G27" s="401"/>
      <c r="H27" s="402"/>
      <c r="I27" s="403"/>
      <c r="J27" s="402"/>
      <c r="K27" s="403"/>
      <c r="L27" s="404"/>
      <c r="M27" s="405"/>
      <c r="N27" s="402"/>
      <c r="O27" s="403"/>
      <c r="P27" s="402"/>
      <c r="Q27" s="403"/>
      <c r="R27" s="402"/>
      <c r="S27" s="406"/>
      <c r="T27" s="403"/>
      <c r="U27" s="403"/>
      <c r="V27" s="403"/>
      <c r="W27" s="407"/>
      <c r="X27" s="402"/>
      <c r="Y27" s="403"/>
      <c r="Z27" s="408"/>
      <c r="AA27" s="507">
        <f>SUM(AA21:AA26)</f>
        <v>176195958</v>
      </c>
      <c r="AB27" s="408"/>
      <c r="AC27" s="507">
        <f>SUM(AC21:AC26)</f>
        <v>0</v>
      </c>
      <c r="AD27" s="408"/>
      <c r="AE27" s="507">
        <f>SUM(AE21:AE26)</f>
        <v>176195958</v>
      </c>
      <c r="AF27" s="330"/>
      <c r="AG27" s="28"/>
      <c r="AH27" s="107"/>
      <c r="AI27" s="107"/>
      <c r="AJ27" s="108"/>
      <c r="AK27" s="107"/>
      <c r="AL27" s="109"/>
      <c r="AM27" s="107"/>
      <c r="AN27" s="28"/>
      <c r="AO27" s="28"/>
      <c r="AP27" s="28"/>
      <c r="AQ27" s="28"/>
      <c r="AR27" s="28"/>
      <c r="AS27" s="28"/>
      <c r="AT27" s="28"/>
      <c r="AU27" s="28"/>
      <c r="AV27" s="28"/>
      <c r="AW27" s="28"/>
      <c r="AX27" s="28"/>
      <c r="AY27" s="28"/>
    </row>
    <row r="28" spans="1:66" ht="18.75" thickTop="1" x14ac:dyDescent="0.25">
      <c r="A28" s="303"/>
      <c r="B28" s="296"/>
      <c r="C28" s="296"/>
      <c r="D28" s="296"/>
      <c r="E28" s="296"/>
      <c r="F28" s="296"/>
      <c r="G28" s="296"/>
      <c r="H28" s="296"/>
      <c r="I28" s="296"/>
      <c r="J28" s="296"/>
      <c r="K28" s="296"/>
      <c r="L28" s="296"/>
      <c r="M28" s="296"/>
      <c r="N28" s="296"/>
      <c r="O28" s="296"/>
      <c r="P28" s="296"/>
      <c r="Q28" s="296"/>
      <c r="R28" s="296"/>
      <c r="S28" s="248"/>
      <c r="T28" s="301"/>
      <c r="U28" s="300"/>
      <c r="V28" s="301"/>
      <c r="W28" s="248"/>
      <c r="X28" s="301"/>
      <c r="Y28" s="248"/>
      <c r="Z28" s="248"/>
      <c r="AA28" s="301"/>
      <c r="AB28" s="248"/>
      <c r="AC28" s="248"/>
      <c r="AD28" s="248"/>
      <c r="AE28" s="248"/>
      <c r="AF28" s="248"/>
      <c r="AK28" s="84"/>
      <c r="AL28" s="33"/>
      <c r="AM28" s="33"/>
      <c r="AN28" s="33"/>
      <c r="AO28" s="33"/>
      <c r="AP28" s="33"/>
      <c r="AQ28" s="33"/>
      <c r="AR28" s="33"/>
      <c r="AS28" s="33"/>
      <c r="AT28" s="33"/>
      <c r="AU28" s="33"/>
      <c r="AV28" s="33"/>
      <c r="AW28" s="33"/>
      <c r="AX28" s="33"/>
      <c r="AY28" s="33"/>
    </row>
    <row r="29" spans="1:66" s="47" customFormat="1" ht="20.25" customHeight="1" x14ac:dyDescent="0.25">
      <c r="A29" s="435"/>
      <c r="B29" s="411"/>
      <c r="C29" s="411"/>
      <c r="D29" s="411"/>
      <c r="E29" s="411" t="s">
        <v>22</v>
      </c>
      <c r="F29" s="411"/>
      <c r="G29" s="411"/>
      <c r="H29" s="411"/>
      <c r="I29" s="411"/>
      <c r="J29" s="411"/>
      <c r="K29" s="411"/>
      <c r="L29" s="411"/>
      <c r="M29" s="411"/>
      <c r="N29" s="411"/>
      <c r="O29" s="411"/>
      <c r="P29" s="411"/>
      <c r="Q29" s="411"/>
      <c r="R29" s="411"/>
      <c r="S29" s="436"/>
      <c r="T29" s="251"/>
      <c r="U29" s="437"/>
      <c r="V29" s="438" t="s">
        <v>29</v>
      </c>
      <c r="W29" s="248"/>
      <c r="X29" s="301"/>
      <c r="Y29" s="436"/>
      <c r="Z29" s="436"/>
      <c r="AA29" s="301"/>
      <c r="AB29" s="436"/>
      <c r="AC29" s="436"/>
      <c r="AD29" s="436"/>
      <c r="AE29" s="248"/>
      <c r="AF29" s="330"/>
      <c r="AK29" s="107"/>
      <c r="AL29" s="28"/>
      <c r="AM29" s="28"/>
      <c r="AN29" s="28"/>
      <c r="AO29" s="28"/>
      <c r="AP29" s="28"/>
      <c r="AQ29" s="28"/>
      <c r="AR29" s="28"/>
      <c r="AS29" s="28"/>
      <c r="AT29" s="28"/>
      <c r="AU29" s="28"/>
      <c r="AV29" s="28"/>
      <c r="AW29" s="28"/>
      <c r="AX29" s="28"/>
      <c r="AY29" s="28"/>
    </row>
    <row r="30" spans="1:66" ht="18" x14ac:dyDescent="0.25">
      <c r="A30" s="439"/>
      <c r="B30" s="440"/>
      <c r="C30" s="440"/>
      <c r="D30" s="440"/>
      <c r="E30" s="440"/>
      <c r="F30" s="440"/>
      <c r="G30" s="440"/>
      <c r="H30" s="440"/>
      <c r="I30" s="440"/>
      <c r="J30" s="440"/>
      <c r="K30" s="441"/>
      <c r="L30" s="441"/>
      <c r="M30" s="441"/>
      <c r="N30" s="441"/>
      <c r="O30" s="441"/>
      <c r="P30" s="441"/>
      <c r="Q30" s="441"/>
      <c r="R30" s="441"/>
      <c r="S30" s="441"/>
      <c r="T30" s="442"/>
      <c r="U30" s="442"/>
      <c r="V30" s="299"/>
      <c r="W30" s="300"/>
      <c r="X30" s="299"/>
      <c r="Y30" s="300"/>
      <c r="Z30" s="300"/>
      <c r="AA30" s="299"/>
      <c r="AB30" s="300"/>
      <c r="AC30" s="300"/>
      <c r="AD30" s="300"/>
      <c r="AE30" s="300"/>
      <c r="AF30" s="248"/>
      <c r="AK30" s="84"/>
      <c r="AL30" s="33"/>
      <c r="AM30" s="33"/>
      <c r="AN30" s="33"/>
      <c r="AO30" s="33"/>
      <c r="AP30" s="33"/>
      <c r="AQ30" s="33"/>
      <c r="AR30" s="33"/>
      <c r="AS30" s="33"/>
      <c r="AT30" s="33"/>
      <c r="AU30" s="33"/>
      <c r="AV30" s="33"/>
      <c r="AW30" s="33"/>
      <c r="AX30" s="33"/>
      <c r="AY30" s="33"/>
    </row>
    <row r="31" spans="1:66" ht="18" x14ac:dyDescent="0.25">
      <c r="A31" s="439"/>
      <c r="B31" s="440"/>
      <c r="C31" s="440"/>
      <c r="D31" s="440"/>
      <c r="E31" s="440"/>
      <c r="F31" s="440"/>
      <c r="G31" s="440"/>
      <c r="H31" s="440"/>
      <c r="I31" s="440"/>
      <c r="J31" s="440"/>
      <c r="K31" s="441"/>
      <c r="L31" s="441"/>
      <c r="M31" s="441"/>
      <c r="N31" s="441"/>
      <c r="O31" s="441"/>
      <c r="P31" s="441"/>
      <c r="Q31" s="441"/>
      <c r="R31" s="441"/>
      <c r="S31" s="441"/>
      <c r="T31" s="442"/>
      <c r="U31" s="442"/>
      <c r="V31" s="443"/>
      <c r="W31" s="444"/>
      <c r="X31" s="444"/>
      <c r="Y31" s="444"/>
      <c r="Z31" s="444"/>
      <c r="AA31" s="443"/>
      <c r="AB31" s="444"/>
      <c r="AC31" s="445"/>
      <c r="AD31" s="444"/>
      <c r="AE31" s="446"/>
      <c r="AF31" s="248"/>
      <c r="AG31" s="149"/>
      <c r="AI31" s="33"/>
      <c r="AJ31" s="33"/>
      <c r="AK31" s="33"/>
      <c r="AL31" s="33"/>
      <c r="AM31" s="33"/>
      <c r="AN31" s="33"/>
      <c r="AO31" s="33"/>
      <c r="AP31" s="33"/>
      <c r="AQ31" s="33"/>
      <c r="AR31" s="33"/>
      <c r="AS31" s="33"/>
      <c r="AT31" s="33"/>
      <c r="AU31" s="33"/>
      <c r="AV31" s="33"/>
      <c r="AW31" s="33"/>
      <c r="AX31" s="33"/>
      <c r="AY31" s="33"/>
    </row>
    <row r="32" spans="1:66" x14ac:dyDescent="0.2">
      <c r="A32" s="445"/>
      <c r="B32" s="445"/>
      <c r="C32" s="445"/>
      <c r="D32" s="445"/>
      <c r="E32" s="501"/>
      <c r="F32" s="445"/>
      <c r="G32" s="445"/>
      <c r="H32" s="445"/>
      <c r="I32" s="445"/>
      <c r="J32" s="445"/>
      <c r="K32" s="445"/>
      <c r="L32" s="445"/>
      <c r="M32" s="449"/>
      <c r="N32" s="445"/>
      <c r="O32" s="445"/>
      <c r="P32" s="445"/>
      <c r="Q32" s="445"/>
      <c r="R32" s="445"/>
      <c r="S32" s="248"/>
      <c r="T32" s="251"/>
      <c r="U32" s="437"/>
      <c r="V32" s="502" t="s">
        <v>30</v>
      </c>
      <c r="W32" s="503"/>
      <c r="X32" s="503"/>
      <c r="Y32" s="503"/>
      <c r="Z32" s="443"/>
      <c r="AA32" s="444"/>
      <c r="AB32" s="443"/>
      <c r="AC32" s="445"/>
      <c r="AD32" s="443"/>
      <c r="AE32" s="445"/>
      <c r="AF32" s="248"/>
      <c r="AG32" s="33"/>
      <c r="AI32" s="33"/>
      <c r="AJ32" s="33"/>
      <c r="AK32" s="33"/>
      <c r="AL32" s="33"/>
      <c r="AM32" s="33"/>
      <c r="AN32" s="33"/>
      <c r="AO32" s="33"/>
      <c r="AP32" s="33"/>
      <c r="AQ32" s="33"/>
      <c r="AR32" s="33"/>
      <c r="AS32" s="33"/>
      <c r="AT32" s="33"/>
      <c r="AU32" s="33"/>
      <c r="AV32" s="33"/>
      <c r="AW32" s="33"/>
      <c r="AX32" s="33"/>
      <c r="AY32" s="33"/>
      <c r="AZ32" s="450"/>
      <c r="BA32" s="450"/>
      <c r="BB32" s="450"/>
      <c r="BC32" s="450"/>
      <c r="BD32" s="450"/>
      <c r="BE32" s="450"/>
      <c r="BF32" s="450"/>
    </row>
    <row r="33" spans="1:66" ht="18" x14ac:dyDescent="0.25">
      <c r="A33" s="421"/>
      <c r="B33" s="421"/>
      <c r="C33" s="421"/>
      <c r="D33" s="421"/>
      <c r="E33" s="421"/>
      <c r="F33" s="421"/>
      <c r="G33" s="421"/>
      <c r="H33" s="421"/>
      <c r="I33" s="421"/>
      <c r="J33" s="421"/>
      <c r="K33" s="33"/>
      <c r="L33" s="33"/>
      <c r="M33" s="84"/>
      <c r="N33" s="84"/>
      <c r="O33" s="84"/>
      <c r="P33" s="84"/>
      <c r="Q33" s="84"/>
      <c r="R33" s="33"/>
      <c r="S33" s="84"/>
      <c r="T33" s="63"/>
      <c r="U33" s="450"/>
      <c r="V33" s="63"/>
      <c r="W33" s="63"/>
      <c r="X33" s="63"/>
      <c r="Y33" s="63"/>
      <c r="Z33" s="63"/>
      <c r="AA33" s="61"/>
      <c r="AB33" s="63"/>
      <c r="AC33" s="62"/>
      <c r="AD33" s="63"/>
      <c r="AE33" s="62"/>
      <c r="AF33" s="455"/>
      <c r="AG33" s="33"/>
      <c r="AH33" s="157"/>
      <c r="AI33" s="456"/>
      <c r="AJ33" s="456"/>
      <c r="AK33" s="447"/>
      <c r="AL33" s="447"/>
      <c r="AM33" s="457"/>
      <c r="AN33" s="457"/>
      <c r="AO33" s="62"/>
      <c r="AP33" s="62"/>
      <c r="AQ33" s="62"/>
      <c r="AR33" s="62"/>
      <c r="AS33" s="62"/>
      <c r="AT33" s="62"/>
      <c r="AU33" s="62"/>
      <c r="AV33" s="62"/>
      <c r="AW33" s="62"/>
      <c r="AX33" s="62"/>
      <c r="AY33" s="62"/>
      <c r="AZ33" s="450"/>
      <c r="BA33" s="450"/>
      <c r="BB33" s="450"/>
      <c r="BC33" s="450"/>
      <c r="BD33" s="450"/>
      <c r="BE33" s="450"/>
      <c r="BF33" s="450"/>
      <c r="BG33" s="450"/>
    </row>
    <row r="34" spans="1:66" x14ac:dyDescent="0.2">
      <c r="A34" s="211" t="s">
        <v>77</v>
      </c>
      <c r="B34" s="212"/>
      <c r="C34" s="212"/>
      <c r="D34" s="212"/>
      <c r="E34" s="212"/>
      <c r="F34" s="212"/>
      <c r="G34" s="212"/>
      <c r="H34" s="212"/>
      <c r="I34" s="212"/>
      <c r="J34" s="212"/>
      <c r="K34" s="212"/>
      <c r="L34" s="212"/>
      <c r="M34" s="212"/>
      <c r="N34" s="212"/>
      <c r="O34" s="212"/>
      <c r="P34" s="212"/>
      <c r="Q34" s="212"/>
      <c r="R34" s="212"/>
      <c r="S34" s="458"/>
      <c r="T34" s="458"/>
      <c r="U34" s="458"/>
      <c r="V34" s="458"/>
      <c r="W34" s="458"/>
      <c r="X34" s="458"/>
      <c r="Y34" s="458"/>
      <c r="Z34" s="458"/>
      <c r="AA34" s="213">
        <f>+AA13-AA27</f>
        <v>0</v>
      </c>
      <c r="AB34" s="458"/>
      <c r="AC34" s="213">
        <f>+AC13-AC27</f>
        <v>0</v>
      </c>
      <c r="AD34" s="458"/>
      <c r="AE34" s="213">
        <f>+AE13-AE27</f>
        <v>0</v>
      </c>
      <c r="AF34" s="447"/>
      <c r="AG34" s="447"/>
      <c r="AH34" s="456"/>
      <c r="AI34" s="459"/>
      <c r="AJ34" s="456"/>
      <c r="AK34" s="447"/>
      <c r="AL34" s="447"/>
      <c r="AM34" s="447"/>
      <c r="AN34" s="447"/>
      <c r="AO34" s="62"/>
      <c r="AP34" s="62"/>
      <c r="AQ34" s="62"/>
      <c r="AR34" s="62"/>
      <c r="AS34" s="62"/>
      <c r="AT34" s="62"/>
      <c r="AU34" s="62"/>
      <c r="AV34" s="62"/>
      <c r="AW34" s="62"/>
      <c r="AX34" s="62"/>
      <c r="AY34" s="62"/>
      <c r="AZ34" s="450"/>
      <c r="BA34" s="450"/>
      <c r="BB34" s="450"/>
      <c r="BC34" s="450"/>
      <c r="BD34" s="450"/>
      <c r="BE34" s="450"/>
      <c r="BF34" s="450"/>
      <c r="BG34" s="450"/>
    </row>
    <row r="35" spans="1:66" x14ac:dyDescent="0.2">
      <c r="S35" s="163"/>
      <c r="T35" s="163"/>
      <c r="U35" s="163"/>
      <c r="V35" s="163"/>
      <c r="W35" s="163"/>
      <c r="X35" s="460"/>
      <c r="Y35" s="163"/>
      <c r="Z35" s="163"/>
      <c r="AA35" s="163"/>
      <c r="AB35" s="163"/>
      <c r="AC35" s="163"/>
      <c r="AD35" s="163"/>
      <c r="AE35" s="163"/>
      <c r="AF35" s="62"/>
      <c r="AG35" s="62"/>
      <c r="AH35" s="456"/>
      <c r="AI35" s="164"/>
      <c r="AJ35" s="456"/>
      <c r="AK35" s="62"/>
      <c r="AL35" s="62"/>
      <c r="AM35" s="62"/>
      <c r="AN35" s="62"/>
      <c r="AO35" s="62"/>
      <c r="AP35" s="62"/>
      <c r="AQ35" s="62"/>
      <c r="AR35" s="62"/>
      <c r="AS35" s="62"/>
      <c r="AT35" s="62"/>
      <c r="AU35" s="62"/>
      <c r="AV35" s="62"/>
      <c r="AW35" s="62"/>
      <c r="AX35" s="62"/>
      <c r="AY35" s="62"/>
      <c r="AZ35" s="450"/>
      <c r="BA35" s="450"/>
      <c r="BB35" s="450"/>
      <c r="BC35" s="450"/>
      <c r="BD35" s="450"/>
      <c r="BE35" s="450"/>
      <c r="BF35" s="450"/>
      <c r="BG35" s="450"/>
    </row>
    <row r="36" spans="1:66" ht="18" x14ac:dyDescent="0.25">
      <c r="A36" s="110"/>
      <c r="B36" s="110"/>
      <c r="C36" s="110"/>
      <c r="D36" s="110"/>
      <c r="E36" s="110"/>
      <c r="F36" s="110"/>
      <c r="G36" s="110"/>
      <c r="H36" s="110"/>
      <c r="I36" s="110" t="s">
        <v>22</v>
      </c>
      <c r="J36" s="110"/>
      <c r="K36" s="461"/>
      <c r="L36" s="462"/>
      <c r="M36" s="409"/>
      <c r="N36" s="409"/>
      <c r="O36" s="409"/>
      <c r="P36" s="409"/>
      <c r="Q36" s="409"/>
      <c r="R36" s="462"/>
      <c r="S36" s="462"/>
      <c r="T36" s="63"/>
      <c r="U36" s="462"/>
      <c r="V36" s="63"/>
      <c r="W36" s="63"/>
      <c r="X36" s="63"/>
      <c r="Y36" s="63"/>
      <c r="Z36" s="63"/>
      <c r="AA36" s="63"/>
      <c r="AB36" s="63"/>
      <c r="AC36" s="462"/>
      <c r="AD36" s="63"/>
      <c r="AE36" s="462"/>
      <c r="AF36" s="161"/>
      <c r="AG36" s="161"/>
      <c r="AH36" s="164"/>
      <c r="AI36" s="169"/>
      <c r="AJ36" s="169"/>
      <c r="AK36" s="161"/>
      <c r="AL36" s="161"/>
      <c r="AM36" s="161"/>
      <c r="AN36" s="161"/>
      <c r="AO36" s="161"/>
      <c r="AP36" s="161"/>
      <c r="AQ36" s="161"/>
      <c r="AR36" s="161"/>
      <c r="AS36" s="161"/>
      <c r="AT36" s="161"/>
      <c r="AU36" s="161"/>
      <c r="AV36" s="161"/>
      <c r="AW36" s="161"/>
      <c r="AX36" s="161"/>
      <c r="AY36" s="161"/>
      <c r="AZ36" s="161"/>
      <c r="BA36" s="161"/>
      <c r="BB36" s="161"/>
      <c r="BC36" s="161"/>
      <c r="BD36" s="161"/>
      <c r="BE36" s="161"/>
      <c r="BF36" s="161"/>
      <c r="BG36" s="163"/>
      <c r="BH36" s="163"/>
      <c r="BI36" s="163"/>
      <c r="BJ36" s="163"/>
      <c r="BK36" s="163"/>
      <c r="BL36" s="163"/>
      <c r="BM36" s="163"/>
      <c r="BN36" s="163"/>
    </row>
    <row r="37" spans="1:66" ht="18" x14ac:dyDescent="0.25">
      <c r="A37" s="421"/>
      <c r="B37" s="421"/>
      <c r="C37" s="421"/>
      <c r="D37" s="421"/>
      <c r="E37" s="421"/>
      <c r="F37" s="421"/>
      <c r="G37" s="421"/>
      <c r="H37" s="421"/>
      <c r="I37" s="421"/>
      <c r="J37" s="421"/>
      <c r="K37" s="33"/>
      <c r="L37" s="463"/>
      <c r="M37" s="33"/>
      <c r="N37" s="84"/>
      <c r="O37" s="84"/>
      <c r="P37" s="84"/>
      <c r="Q37" s="84"/>
      <c r="R37" s="33"/>
      <c r="S37" s="85"/>
      <c r="T37" s="63"/>
      <c r="U37" s="421"/>
      <c r="V37" s="63"/>
      <c r="W37" s="63"/>
      <c r="X37" s="63"/>
      <c r="Y37" s="63"/>
      <c r="Z37" s="63"/>
      <c r="AA37" s="63"/>
      <c r="AB37" s="63"/>
      <c r="AC37" s="33"/>
      <c r="AD37" s="63"/>
      <c r="AE37" s="33"/>
      <c r="AF37" s="163"/>
      <c r="AG37" s="163"/>
      <c r="AH37" s="169"/>
      <c r="AI37" s="172"/>
      <c r="AJ37" s="172"/>
      <c r="AK37" s="163"/>
      <c r="AL37" s="163"/>
      <c r="AM37" s="163"/>
      <c r="AN37" s="163"/>
      <c r="AO37" s="163"/>
      <c r="AP37" s="163"/>
      <c r="AQ37" s="163"/>
      <c r="AR37" s="163"/>
      <c r="AS37" s="163"/>
      <c r="AT37" s="163"/>
      <c r="AU37" s="163"/>
      <c r="AV37" s="163"/>
      <c r="AW37" s="163"/>
      <c r="AX37" s="163"/>
      <c r="AY37" s="163"/>
      <c r="AZ37" s="163"/>
      <c r="BA37" s="163"/>
      <c r="BB37" s="163"/>
      <c r="BC37" s="163"/>
      <c r="BD37" s="163"/>
      <c r="BE37" s="163"/>
      <c r="BF37" s="163"/>
      <c r="BG37" s="163"/>
      <c r="BH37" s="163"/>
      <c r="BI37" s="163"/>
      <c r="BJ37" s="163"/>
      <c r="BK37" s="163"/>
      <c r="BL37" s="163"/>
      <c r="BM37" s="163"/>
      <c r="BN37" s="163"/>
    </row>
    <row r="38" spans="1:66" ht="18" x14ac:dyDescent="0.25">
      <c r="A38" s="421"/>
      <c r="B38" s="421"/>
      <c r="C38" s="421"/>
      <c r="D38" s="421"/>
      <c r="E38" s="421"/>
      <c r="F38" s="421"/>
      <c r="G38" s="421"/>
      <c r="H38" s="421"/>
      <c r="I38" s="421"/>
      <c r="J38" s="421"/>
      <c r="K38" s="33"/>
      <c r="L38" s="463"/>
      <c r="M38" s="33"/>
      <c r="N38" s="84"/>
      <c r="O38" s="84"/>
      <c r="P38" s="84"/>
      <c r="Q38" s="84"/>
      <c r="R38" s="33"/>
      <c r="S38" s="85"/>
      <c r="T38" s="63"/>
      <c r="U38" s="421"/>
      <c r="V38" s="63"/>
      <c r="W38" s="63"/>
      <c r="X38" s="63"/>
      <c r="Y38" s="464">
        <v>39233</v>
      </c>
      <c r="Z38" s="464"/>
      <c r="AA38" s="63"/>
      <c r="AB38" s="464"/>
      <c r="AC38" s="33"/>
      <c r="AD38" s="464"/>
      <c r="AE38" s="33"/>
      <c r="AF38" s="462"/>
      <c r="AK38" s="462"/>
      <c r="AL38" s="462"/>
      <c r="AM38" s="462"/>
      <c r="AN38" s="462"/>
      <c r="AO38" s="462"/>
      <c r="AP38" s="462"/>
      <c r="AQ38" s="462"/>
      <c r="AR38" s="462"/>
      <c r="AS38" s="462"/>
      <c r="AT38" s="462"/>
      <c r="AU38" s="462"/>
      <c r="AV38" s="462"/>
      <c r="AW38" s="462"/>
      <c r="AX38" s="462"/>
      <c r="AY38" s="462"/>
    </row>
    <row r="39" spans="1:66" ht="18" x14ac:dyDescent="0.25">
      <c r="A39" s="421"/>
      <c r="B39" s="421"/>
      <c r="C39" s="421"/>
      <c r="D39" s="421"/>
      <c r="E39" s="421"/>
      <c r="F39" s="421"/>
      <c r="G39" s="421"/>
      <c r="H39" s="421"/>
      <c r="I39" s="421"/>
      <c r="J39" s="421"/>
      <c r="K39" s="33"/>
      <c r="L39" s="463"/>
      <c r="M39" s="84">
        <v>5101790.63</v>
      </c>
      <c r="N39" s="84"/>
      <c r="O39" s="84">
        <v>6436448.6699999999</v>
      </c>
      <c r="P39" s="84"/>
      <c r="Q39" s="84">
        <v>10349521.92</v>
      </c>
      <c r="R39" s="33"/>
      <c r="S39" s="84">
        <v>15024837.26</v>
      </c>
      <c r="T39" s="63" t="s">
        <v>33</v>
      </c>
      <c r="U39" s="84">
        <v>17562507.760000002</v>
      </c>
      <c r="V39" s="63" t="s">
        <v>33</v>
      </c>
      <c r="W39" s="84">
        <v>22959180.210000001</v>
      </c>
      <c r="X39" s="465" t="s">
        <v>33</v>
      </c>
      <c r="Y39" s="466">
        <v>13078902.26</v>
      </c>
      <c r="Z39" s="466"/>
      <c r="AA39" s="352"/>
      <c r="AB39" s="466"/>
      <c r="AC39" s="33"/>
      <c r="AD39" s="466"/>
      <c r="AE39" s="33"/>
      <c r="AF39" s="33"/>
      <c r="AG39" s="462"/>
      <c r="AH39" s="172"/>
      <c r="AI39" s="157"/>
      <c r="AJ39" s="157"/>
      <c r="AK39" s="33"/>
      <c r="AL39" s="33"/>
      <c r="AM39" s="33"/>
      <c r="AN39" s="33"/>
      <c r="AO39" s="33"/>
      <c r="AP39" s="33"/>
      <c r="AQ39" s="33"/>
      <c r="AR39" s="33"/>
      <c r="AS39" s="33"/>
      <c r="AT39" s="33"/>
      <c r="AU39" s="33"/>
      <c r="AV39" s="33"/>
      <c r="AW39" s="33"/>
      <c r="AX39" s="33"/>
      <c r="AY39" s="33"/>
    </row>
    <row r="40" spans="1:66" ht="18" x14ac:dyDescent="0.25">
      <c r="A40" s="421"/>
      <c r="B40" s="421"/>
      <c r="C40" s="421"/>
      <c r="D40" s="421"/>
      <c r="E40" s="421"/>
      <c r="F40" s="421"/>
      <c r="G40" s="421"/>
      <c r="H40" s="421"/>
      <c r="I40" s="421"/>
      <c r="J40" s="421"/>
      <c r="K40" s="33"/>
      <c r="L40" s="463"/>
      <c r="M40" s="84">
        <v>2435546.67</v>
      </c>
      <c r="N40" s="84"/>
      <c r="O40" s="84">
        <v>2034508.56</v>
      </c>
      <c r="P40" s="84"/>
      <c r="Q40" s="84">
        <v>890204.2</v>
      </c>
      <c r="R40" s="33"/>
      <c r="S40" s="84">
        <f>2649012.99-386707</f>
        <v>2262305.9900000002</v>
      </c>
      <c r="T40" s="63" t="s">
        <v>34</v>
      </c>
      <c r="U40" s="84">
        <f>+U50</f>
        <v>7716730.4199999999</v>
      </c>
      <c r="V40" s="63" t="s">
        <v>34</v>
      </c>
      <c r="W40" s="84">
        <v>3995193.16</v>
      </c>
      <c r="X40" s="63" t="s">
        <v>34</v>
      </c>
      <c r="Y40" s="467">
        <v>5437540.0700000003</v>
      </c>
      <c r="Z40" s="467"/>
      <c r="AA40" s="352"/>
      <c r="AB40" s="467"/>
      <c r="AC40" s="33"/>
      <c r="AD40" s="467"/>
      <c r="AE40" s="33"/>
      <c r="AF40" s="33"/>
      <c r="AG40" s="33"/>
      <c r="AH40" s="157"/>
      <c r="AI40" s="177"/>
      <c r="AJ40" s="177"/>
      <c r="AK40" s="33"/>
      <c r="AL40" s="33"/>
      <c r="AM40" s="33"/>
      <c r="AN40" s="33"/>
      <c r="AO40" s="33"/>
      <c r="AP40" s="33"/>
      <c r="AQ40" s="33"/>
      <c r="AR40" s="33"/>
      <c r="AS40" s="33"/>
      <c r="AT40" s="33"/>
      <c r="AU40" s="33"/>
      <c r="AV40" s="33"/>
      <c r="AW40" s="33"/>
      <c r="AX40" s="33"/>
      <c r="AY40" s="33"/>
    </row>
    <row r="41" spans="1:66" ht="18" x14ac:dyDescent="0.25">
      <c r="A41" s="421"/>
      <c r="B41" s="421"/>
      <c r="C41" s="421"/>
      <c r="D41" s="421"/>
      <c r="E41" s="421"/>
      <c r="F41" s="421"/>
      <c r="G41" s="421"/>
      <c r="H41" s="421"/>
      <c r="I41" s="421"/>
      <c r="J41" s="421"/>
      <c r="K41" s="33"/>
      <c r="L41" s="463"/>
      <c r="M41" s="84">
        <v>723337.82</v>
      </c>
      <c r="N41" s="84"/>
      <c r="O41" s="84">
        <v>45437.84</v>
      </c>
      <c r="P41" s="84"/>
      <c r="Q41" s="84">
        <v>57676.35</v>
      </c>
      <c r="R41" s="33"/>
      <c r="S41" s="84">
        <v>58271.39</v>
      </c>
      <c r="T41" s="63" t="s">
        <v>35</v>
      </c>
      <c r="U41" s="468">
        <v>59749.52</v>
      </c>
      <c r="V41" s="63" t="s">
        <v>35</v>
      </c>
      <c r="W41" s="84">
        <v>0</v>
      </c>
      <c r="X41" s="63" t="s">
        <v>35</v>
      </c>
      <c r="Y41" s="466">
        <v>0</v>
      </c>
      <c r="Z41" s="466"/>
      <c r="AA41" s="352"/>
      <c r="AB41" s="466"/>
      <c r="AC41" s="33"/>
      <c r="AD41" s="466"/>
      <c r="AE41" s="33"/>
      <c r="AF41" s="33"/>
      <c r="AG41" s="33"/>
      <c r="AH41" s="177"/>
      <c r="AI41" s="177"/>
      <c r="AJ41" s="177"/>
      <c r="AK41" s="33"/>
      <c r="AL41" s="33"/>
      <c r="AM41" s="33"/>
      <c r="AN41" s="33"/>
      <c r="AO41" s="33"/>
      <c r="AP41" s="33"/>
      <c r="AQ41" s="33"/>
      <c r="AR41" s="33"/>
      <c r="AS41" s="33"/>
      <c r="AT41" s="33"/>
      <c r="AU41" s="33"/>
      <c r="AV41" s="33"/>
      <c r="AW41" s="33"/>
      <c r="AX41" s="33"/>
      <c r="AY41" s="33"/>
    </row>
    <row r="42" spans="1:66" ht="18.75" thickBot="1" x14ac:dyDescent="0.3">
      <c r="A42" s="421"/>
      <c r="B42" s="421"/>
      <c r="C42" s="421"/>
      <c r="D42" s="421"/>
      <c r="E42" s="421"/>
      <c r="F42" s="421"/>
      <c r="G42" s="421"/>
      <c r="H42" s="421"/>
      <c r="I42" s="421"/>
      <c r="J42" s="421"/>
      <c r="K42" s="33"/>
      <c r="L42" s="463"/>
      <c r="M42" s="84">
        <f>SUM(M39:M41)</f>
        <v>8260675.1200000001</v>
      </c>
      <c r="N42" s="84"/>
      <c r="O42" s="84">
        <f>SUM(O39:O41)</f>
        <v>8516395.0700000003</v>
      </c>
      <c r="P42" s="84"/>
      <c r="Q42" s="84">
        <f>SUM(Q39:Q41)</f>
        <v>11297402.469999999</v>
      </c>
      <c r="R42" s="33"/>
      <c r="S42" s="84">
        <f>SUM(S39:S41)</f>
        <v>17345414.640000001</v>
      </c>
      <c r="T42" s="63"/>
      <c r="U42" s="469">
        <f>SUM(U39:U41)</f>
        <v>25338987.699999999</v>
      </c>
      <c r="V42" s="352"/>
      <c r="W42" s="470">
        <f>SUM(W39:W41)</f>
        <v>26954373.370000001</v>
      </c>
      <c r="X42" s="84"/>
      <c r="Y42" s="471">
        <f>SUM(Y39:Y41)</f>
        <v>18516442.329999998</v>
      </c>
      <c r="Z42" s="472"/>
      <c r="AA42" s="473"/>
      <c r="AB42" s="472"/>
      <c r="AC42" s="33"/>
      <c r="AD42" s="472"/>
      <c r="AE42" s="33"/>
      <c r="AF42" s="33"/>
      <c r="AG42" s="33"/>
      <c r="AH42" s="177"/>
      <c r="AI42" s="177"/>
      <c r="AJ42" s="177"/>
      <c r="AK42" s="33"/>
      <c r="AL42" s="33"/>
      <c r="AM42" s="33"/>
      <c r="AN42" s="33"/>
      <c r="AO42" s="33"/>
      <c r="AP42" s="33"/>
      <c r="AQ42" s="33"/>
      <c r="AR42" s="33"/>
      <c r="AS42" s="33"/>
      <c r="AT42" s="33"/>
      <c r="AU42" s="33"/>
      <c r="AV42" s="33"/>
      <c r="AW42" s="33"/>
      <c r="AX42" s="33"/>
      <c r="AY42" s="33"/>
    </row>
    <row r="43" spans="1:66" ht="18.75" thickTop="1" x14ac:dyDescent="0.25">
      <c r="A43" s="421"/>
      <c r="B43" s="421"/>
      <c r="C43" s="421"/>
      <c r="D43" s="421"/>
      <c r="E43" s="421"/>
      <c r="F43" s="421"/>
      <c r="G43" s="421"/>
      <c r="H43" s="421"/>
      <c r="I43" s="421"/>
      <c r="J43" s="421"/>
      <c r="K43" s="33"/>
      <c r="L43" s="463"/>
      <c r="M43" s="33"/>
      <c r="N43" s="84"/>
      <c r="O43" s="84"/>
      <c r="P43" s="84"/>
      <c r="Q43" s="84"/>
      <c r="R43" s="33"/>
      <c r="S43" s="84"/>
      <c r="T43" s="63"/>
      <c r="U43" s="33"/>
      <c r="V43" s="63"/>
      <c r="W43" s="474"/>
      <c r="X43" s="474"/>
      <c r="Y43" s="475"/>
      <c r="Z43" s="475"/>
      <c r="AA43" s="475"/>
      <c r="AB43" s="475"/>
      <c r="AC43" s="33"/>
      <c r="AD43" s="475"/>
      <c r="AE43" s="33"/>
      <c r="AF43" s="33"/>
      <c r="AG43" s="33"/>
      <c r="AH43" s="177"/>
      <c r="AI43" s="177"/>
      <c r="AJ43" s="177"/>
      <c r="AK43" s="33"/>
      <c r="AL43" s="33"/>
      <c r="AM43" s="33"/>
      <c r="AN43" s="33"/>
      <c r="AO43" s="33"/>
      <c r="AP43" s="33"/>
      <c r="AQ43" s="33"/>
      <c r="AR43" s="33"/>
      <c r="AS43" s="33"/>
      <c r="AT43" s="33"/>
      <c r="AU43" s="33"/>
      <c r="AV43" s="33"/>
      <c r="AW43" s="33"/>
      <c r="AX43" s="33"/>
      <c r="AY43" s="33"/>
    </row>
    <row r="44" spans="1:66" ht="18" x14ac:dyDescent="0.25">
      <c r="A44" s="421"/>
      <c r="B44" s="421"/>
      <c r="C44" s="421"/>
      <c r="D44" s="421"/>
      <c r="E44" s="421"/>
      <c r="F44" s="421"/>
      <c r="G44" s="421"/>
      <c r="H44" s="421"/>
      <c r="I44" s="421"/>
      <c r="J44" s="421"/>
      <c r="K44" s="33"/>
      <c r="L44" s="463"/>
      <c r="M44" s="409" t="e">
        <f>+M42-#REF!</f>
        <v>#REF!</v>
      </c>
      <c r="N44" s="409"/>
      <c r="O44" s="409" t="e">
        <f>+O42-#REF!</f>
        <v>#REF!</v>
      </c>
      <c r="P44" s="409"/>
      <c r="Q44" s="409" t="e">
        <f>+Q42-#REF!</f>
        <v>#REF!</v>
      </c>
      <c r="R44" s="462"/>
      <c r="S44" s="409" t="e">
        <f>+S42-#REF!</f>
        <v>#REF!</v>
      </c>
      <c r="T44" s="63"/>
      <c r="U44" s="409" t="e">
        <f>+U42-#REF!</f>
        <v>#REF!</v>
      </c>
      <c r="V44" s="63"/>
      <c r="W44" s="84" t="e">
        <f>+#REF!-W42</f>
        <v>#REF!</v>
      </c>
      <c r="X44" s="474"/>
      <c r="Y44" s="84" t="e">
        <f>+#REF!-Y42</f>
        <v>#REF!</v>
      </c>
      <c r="Z44" s="84"/>
      <c r="AA44" s="475"/>
      <c r="AB44" s="84"/>
      <c r="AC44" s="33"/>
      <c r="AD44" s="84"/>
      <c r="AE44" s="33"/>
      <c r="AF44" s="33"/>
      <c r="AG44" s="33"/>
      <c r="AH44" s="177"/>
      <c r="AI44" s="177"/>
      <c r="AJ44" s="177"/>
      <c r="AK44" s="33"/>
      <c r="AL44" s="33"/>
      <c r="AM44" s="33"/>
      <c r="AN44" s="33"/>
      <c r="AO44" s="33"/>
      <c r="AP44" s="33"/>
      <c r="AQ44" s="33"/>
      <c r="AR44" s="33"/>
      <c r="AS44" s="33"/>
      <c r="AT44" s="33"/>
      <c r="AU44" s="33"/>
      <c r="AV44" s="33"/>
      <c r="AW44" s="33"/>
      <c r="AX44" s="33"/>
      <c r="AY44" s="33"/>
    </row>
    <row r="45" spans="1:66" ht="18" x14ac:dyDescent="0.25">
      <c r="A45" s="421"/>
      <c r="B45" s="421"/>
      <c r="C45" s="421"/>
      <c r="D45" s="421"/>
      <c r="E45" s="421"/>
      <c r="F45" s="421"/>
      <c r="G45" s="421"/>
      <c r="H45" s="421"/>
      <c r="I45" s="421"/>
      <c r="J45" s="421"/>
      <c r="K45" s="33"/>
      <c r="L45" s="463"/>
      <c r="M45" s="33"/>
      <c r="N45" s="84"/>
      <c r="O45" s="84"/>
      <c r="P45" s="84"/>
      <c r="Q45" s="84"/>
      <c r="R45" s="33"/>
      <c r="S45" s="85"/>
      <c r="T45" s="63"/>
      <c r="U45" s="421"/>
      <c r="V45" s="63"/>
      <c r="W45" s="475"/>
      <c r="X45" s="475"/>
      <c r="Y45" s="475"/>
      <c r="Z45" s="475"/>
      <c r="AA45" s="475"/>
      <c r="AB45" s="475"/>
      <c r="AC45" s="33"/>
      <c r="AD45" s="475"/>
      <c r="AE45" s="33"/>
      <c r="AF45" s="33"/>
      <c r="AG45" s="33"/>
      <c r="AH45" s="33"/>
      <c r="AI45" s="33"/>
      <c r="AJ45" s="33"/>
      <c r="AK45" s="33"/>
      <c r="AL45" s="33"/>
      <c r="AM45" s="33"/>
      <c r="AN45" s="33"/>
      <c r="AO45" s="33"/>
      <c r="AP45" s="33"/>
      <c r="AQ45" s="33"/>
      <c r="AR45" s="33"/>
      <c r="AS45" s="33"/>
      <c r="AT45" s="33"/>
      <c r="AU45" s="33"/>
      <c r="AV45" s="33"/>
      <c r="AW45" s="33"/>
      <c r="AX45" s="33"/>
      <c r="AY45" s="33"/>
    </row>
    <row r="46" spans="1:66" ht="18" x14ac:dyDescent="0.25">
      <c r="A46" s="421"/>
      <c r="B46" s="421"/>
      <c r="C46" s="421"/>
      <c r="D46" s="421"/>
      <c r="E46" s="421"/>
      <c r="F46" s="421"/>
      <c r="G46" s="421"/>
      <c r="H46" s="421"/>
      <c r="I46" s="421"/>
      <c r="J46" s="421"/>
      <c r="K46" s="33"/>
      <c r="L46" s="463"/>
      <c r="M46" s="33"/>
      <c r="N46" s="84"/>
      <c r="O46" s="84"/>
      <c r="P46" s="84"/>
      <c r="Q46" s="84"/>
      <c r="R46" s="33" t="s">
        <v>34</v>
      </c>
      <c r="S46" s="85">
        <v>2649012.9900000002</v>
      </c>
      <c r="T46" s="63" t="s">
        <v>34</v>
      </c>
      <c r="U46" s="421">
        <v>7716730.4199999999</v>
      </c>
      <c r="V46" s="63" t="s">
        <v>34</v>
      </c>
      <c r="W46" s="473">
        <f>+W40</f>
        <v>3995193.16</v>
      </c>
      <c r="X46" s="421" t="s">
        <v>36</v>
      </c>
      <c r="Y46" s="476">
        <v>1161376</v>
      </c>
      <c r="Z46" s="476"/>
      <c r="AA46" s="475"/>
      <c r="AB46" s="476"/>
      <c r="AC46" s="33"/>
      <c r="AD46" s="476"/>
      <c r="AE46" s="33"/>
      <c r="AF46" s="33"/>
      <c r="AG46" s="84"/>
      <c r="AH46" s="84"/>
      <c r="AI46" s="186"/>
      <c r="AJ46" s="33"/>
      <c r="AK46" s="33"/>
      <c r="AL46" s="33"/>
      <c r="AM46" s="33"/>
      <c r="AN46" s="33"/>
      <c r="AO46" s="33"/>
      <c r="AP46" s="33"/>
      <c r="AQ46" s="33"/>
      <c r="AR46" s="33"/>
      <c r="AS46" s="33"/>
      <c r="AT46" s="33"/>
      <c r="AU46" s="33"/>
      <c r="AV46" s="33"/>
      <c r="AW46" s="33"/>
      <c r="AX46" s="33"/>
      <c r="AY46" s="33"/>
    </row>
    <row r="47" spans="1:66" ht="18" x14ac:dyDescent="0.25">
      <c r="A47" s="421"/>
      <c r="B47" s="421" t="s">
        <v>22</v>
      </c>
      <c r="C47" s="421"/>
      <c r="D47" s="421"/>
      <c r="E47" s="421"/>
      <c r="F47" s="421"/>
      <c r="G47" s="421"/>
      <c r="H47" s="421"/>
      <c r="I47" s="421"/>
      <c r="J47" s="421"/>
      <c r="K47" s="33"/>
      <c r="L47" s="463"/>
      <c r="M47" s="33"/>
      <c r="N47" s="84"/>
      <c r="O47" s="84"/>
      <c r="P47" s="84"/>
      <c r="Q47" s="84"/>
      <c r="R47" s="33" t="s">
        <v>38</v>
      </c>
      <c r="S47" s="476">
        <v>386707</v>
      </c>
      <c r="T47" s="63"/>
      <c r="U47" s="33"/>
      <c r="V47" s="63"/>
      <c r="W47" s="473"/>
      <c r="X47" s="421" t="s">
        <v>39</v>
      </c>
      <c r="Y47" s="476">
        <v>5477772</v>
      </c>
      <c r="Z47" s="476"/>
      <c r="AA47" s="475"/>
      <c r="AB47" s="476"/>
      <c r="AC47" s="33"/>
      <c r="AD47" s="476"/>
      <c r="AE47" s="33"/>
      <c r="AF47" s="33"/>
      <c r="AG47" s="84"/>
      <c r="AH47" s="84"/>
      <c r="AI47" s="186"/>
      <c r="AJ47" s="33"/>
      <c r="AK47" s="33"/>
      <c r="AL47" s="33"/>
      <c r="AM47" s="33"/>
      <c r="AN47" s="33"/>
      <c r="AO47" s="33"/>
      <c r="AP47" s="33"/>
      <c r="AQ47" s="33"/>
      <c r="AR47" s="33"/>
      <c r="AS47" s="33"/>
      <c r="AT47" s="33"/>
      <c r="AU47" s="33"/>
      <c r="AV47" s="33"/>
      <c r="AW47" s="33"/>
      <c r="AX47" s="33"/>
      <c r="AY47" s="33"/>
    </row>
    <row r="48" spans="1:66" ht="18" x14ac:dyDescent="0.25">
      <c r="A48" s="421"/>
      <c r="B48" s="421"/>
      <c r="C48" s="421"/>
      <c r="D48" s="421"/>
      <c r="E48" s="421"/>
      <c r="F48" s="421"/>
      <c r="G48" s="421"/>
      <c r="H48" s="421"/>
      <c r="I48" s="421"/>
      <c r="J48" s="421"/>
      <c r="K48" s="33"/>
      <c r="L48" s="463"/>
      <c r="M48" s="33"/>
      <c r="N48" s="84"/>
      <c r="O48" s="84"/>
      <c r="P48" s="84"/>
      <c r="Q48" s="84"/>
      <c r="R48" s="33"/>
      <c r="S48" s="33">
        <v>0</v>
      </c>
      <c r="T48" s="63"/>
      <c r="U48" s="33"/>
      <c r="V48" s="63"/>
      <c r="W48" s="473"/>
      <c r="X48" s="421" t="s">
        <v>40</v>
      </c>
      <c r="Y48" s="476">
        <f>10999378-Y47</f>
        <v>5521606</v>
      </c>
      <c r="Z48" s="476"/>
      <c r="AA48" s="475"/>
      <c r="AB48" s="476"/>
      <c r="AC48" s="33"/>
      <c r="AD48" s="476"/>
      <c r="AE48" s="33"/>
      <c r="AF48" s="33"/>
      <c r="AG48" s="84"/>
      <c r="AH48" s="84"/>
      <c r="AI48" s="186"/>
      <c r="AJ48" s="33"/>
      <c r="AK48" s="33"/>
      <c r="AL48" s="33"/>
      <c r="AM48" s="33"/>
      <c r="AN48" s="33"/>
      <c r="AO48" s="33"/>
      <c r="AP48" s="33"/>
      <c r="AQ48" s="33"/>
      <c r="AR48" s="33"/>
      <c r="AS48" s="33"/>
      <c r="AT48" s="33"/>
      <c r="AU48" s="33"/>
      <c r="AV48" s="33"/>
      <c r="AW48" s="33"/>
      <c r="AX48" s="33"/>
      <c r="AY48" s="33"/>
    </row>
    <row r="49" spans="1:51" ht="18" x14ac:dyDescent="0.25">
      <c r="A49" s="421"/>
      <c r="B49" s="421"/>
      <c r="C49" s="421"/>
      <c r="D49" s="421"/>
      <c r="E49" s="421"/>
      <c r="F49" s="421"/>
      <c r="G49" s="421"/>
      <c r="H49" s="421"/>
      <c r="I49" s="421"/>
      <c r="J49" s="421"/>
      <c r="K49" s="33"/>
      <c r="L49" s="463"/>
      <c r="M49" s="33"/>
      <c r="N49" s="84"/>
      <c r="O49" s="84"/>
      <c r="P49" s="84"/>
      <c r="Q49" s="84"/>
      <c r="R49" s="33"/>
      <c r="S49" s="33"/>
      <c r="T49" s="63"/>
      <c r="U49" s="33"/>
      <c r="V49" s="63"/>
      <c r="W49" s="473">
        <f>+U47</f>
        <v>0</v>
      </c>
      <c r="X49" s="303" t="s">
        <v>41</v>
      </c>
      <c r="Y49" s="477">
        <v>1353611</v>
      </c>
      <c r="Z49" s="477"/>
      <c r="AA49" s="475"/>
      <c r="AB49" s="477"/>
      <c r="AC49" s="33"/>
      <c r="AD49" s="477"/>
      <c r="AE49" s="33"/>
      <c r="AF49" s="33"/>
      <c r="AG49" s="84"/>
      <c r="AH49" s="84"/>
      <c r="AI49" s="186"/>
      <c r="AJ49" s="33"/>
      <c r="AK49" s="33"/>
      <c r="AL49" s="33"/>
      <c r="AM49" s="33"/>
      <c r="AN49" s="33"/>
      <c r="AO49" s="33"/>
      <c r="AP49" s="33"/>
      <c r="AQ49" s="33"/>
      <c r="AR49" s="33"/>
      <c r="AS49" s="33"/>
      <c r="AT49" s="33"/>
      <c r="AU49" s="33"/>
      <c r="AV49" s="33"/>
      <c r="AW49" s="33"/>
      <c r="AX49" s="33"/>
      <c r="AY49" s="33"/>
    </row>
    <row r="50" spans="1:51" ht="18" x14ac:dyDescent="0.25">
      <c r="O50" s="84"/>
      <c r="P50" s="84"/>
      <c r="Q50" s="84"/>
      <c r="R50" s="33"/>
      <c r="S50" s="85">
        <f>+S46-S47</f>
        <v>2262305.9900000002</v>
      </c>
      <c r="T50" s="63"/>
      <c r="U50" s="421">
        <f>+U46-U47-U48</f>
        <v>7716730.4199999999</v>
      </c>
      <c r="V50" s="63"/>
      <c r="W50" s="473">
        <f>+W46-W47-W48-W49</f>
        <v>3995193.16</v>
      </c>
      <c r="X50" s="421" t="s">
        <v>43</v>
      </c>
      <c r="Y50" s="478">
        <v>5000000</v>
      </c>
      <c r="Z50" s="478"/>
      <c r="AA50" s="475"/>
      <c r="AB50" s="478"/>
      <c r="AC50" s="33"/>
      <c r="AD50" s="478"/>
      <c r="AE50" s="33"/>
      <c r="AF50" s="33"/>
      <c r="AG50" s="84"/>
      <c r="AH50" s="84"/>
      <c r="AI50" s="190"/>
      <c r="AJ50" s="33"/>
      <c r="AK50" s="33"/>
      <c r="AL50" s="33"/>
      <c r="AM50" s="33"/>
      <c r="AN50" s="33"/>
      <c r="AO50" s="33"/>
      <c r="AP50" s="33"/>
      <c r="AQ50" s="33"/>
      <c r="AR50" s="33"/>
      <c r="AS50" s="33"/>
      <c r="AT50" s="33"/>
      <c r="AU50" s="33"/>
      <c r="AV50" s="33"/>
      <c r="AW50" s="33"/>
      <c r="AX50" s="33"/>
      <c r="AY50" s="33"/>
    </row>
    <row r="51" spans="1:51" ht="18" x14ac:dyDescent="0.25">
      <c r="O51" s="84"/>
      <c r="P51" s="84"/>
      <c r="Q51" s="84"/>
      <c r="R51" s="33"/>
      <c r="S51" s="85"/>
      <c r="T51" s="63"/>
      <c r="U51" s="421"/>
      <c r="V51" s="63"/>
      <c r="W51" s="473"/>
      <c r="X51" s="421" t="s">
        <v>45</v>
      </c>
      <c r="Y51" s="478">
        <v>25000</v>
      </c>
      <c r="Z51" s="478"/>
      <c r="AA51" s="475"/>
      <c r="AB51" s="478"/>
      <c r="AC51" s="33"/>
      <c r="AD51" s="478"/>
      <c r="AE51" s="33"/>
      <c r="AF51" s="33"/>
      <c r="AG51" s="84"/>
      <c r="AH51" s="84"/>
      <c r="AI51" s="186"/>
      <c r="AJ51" s="33"/>
      <c r="AK51" s="33"/>
      <c r="AL51" s="33"/>
      <c r="AM51" s="33"/>
      <c r="AN51" s="33"/>
      <c r="AO51" s="33"/>
      <c r="AP51" s="33"/>
      <c r="AQ51" s="33"/>
      <c r="AR51" s="33"/>
      <c r="AS51" s="33"/>
      <c r="AT51" s="33"/>
      <c r="AU51" s="33"/>
      <c r="AV51" s="33"/>
      <c r="AW51" s="33"/>
      <c r="AX51" s="33"/>
      <c r="AY51" s="33"/>
    </row>
    <row r="52" spans="1:51" ht="18" x14ac:dyDescent="0.25">
      <c r="O52" s="84"/>
      <c r="P52" s="84"/>
      <c r="Q52" s="84"/>
      <c r="R52" s="33"/>
      <c r="S52" s="85"/>
      <c r="T52" s="63"/>
      <c r="U52" s="421"/>
      <c r="V52" s="63"/>
      <c r="W52" s="473"/>
      <c r="X52" s="421"/>
      <c r="Y52" s="478">
        <v>10000</v>
      </c>
      <c r="Z52" s="478"/>
      <c r="AA52" s="475"/>
      <c r="AB52" s="478"/>
      <c r="AC52" s="33"/>
      <c r="AD52" s="478"/>
      <c r="AE52" s="33"/>
      <c r="AF52" s="33"/>
      <c r="AG52" s="84"/>
      <c r="AH52" s="84"/>
      <c r="AI52" s="186"/>
      <c r="AJ52" s="33"/>
      <c r="AK52" s="33"/>
      <c r="AL52" s="33"/>
      <c r="AM52" s="33"/>
      <c r="AN52" s="33"/>
      <c r="AO52" s="33"/>
      <c r="AP52" s="33"/>
      <c r="AQ52" s="33"/>
      <c r="AR52" s="33"/>
      <c r="AS52" s="33"/>
      <c r="AT52" s="33"/>
      <c r="AU52" s="33"/>
      <c r="AV52" s="33"/>
      <c r="AW52" s="33"/>
      <c r="AX52" s="33"/>
      <c r="AY52" s="33"/>
    </row>
    <row r="53" spans="1:51" ht="18" x14ac:dyDescent="0.25">
      <c r="O53" s="84"/>
      <c r="P53" s="84"/>
      <c r="Q53" s="84"/>
      <c r="R53" s="33"/>
      <c r="S53" s="85"/>
      <c r="T53" s="63"/>
      <c r="U53" s="421"/>
      <c r="V53" s="63"/>
      <c r="W53" s="473"/>
      <c r="X53" s="421"/>
      <c r="Y53" s="479">
        <v>18649.28</v>
      </c>
      <c r="Z53" s="479"/>
      <c r="AA53" s="475"/>
      <c r="AB53" s="479"/>
      <c r="AC53" s="33"/>
      <c r="AD53" s="479"/>
      <c r="AE53" s="33"/>
      <c r="AF53" s="33"/>
      <c r="AG53" s="84"/>
      <c r="AH53" s="84"/>
      <c r="AI53" s="186"/>
      <c r="AJ53" s="33"/>
      <c r="AK53" s="33"/>
      <c r="AL53" s="33"/>
      <c r="AM53" s="33"/>
      <c r="AN53" s="33"/>
      <c r="AO53" s="33"/>
      <c r="AP53" s="33"/>
      <c r="AQ53" s="33"/>
      <c r="AR53" s="33"/>
      <c r="AS53" s="33"/>
      <c r="AT53" s="33"/>
      <c r="AU53" s="33"/>
      <c r="AV53" s="33"/>
      <c r="AW53" s="33"/>
      <c r="AX53" s="33"/>
      <c r="AY53" s="33"/>
    </row>
    <row r="54" spans="1:51" ht="18" x14ac:dyDescent="0.25">
      <c r="O54" s="84"/>
      <c r="P54" s="84"/>
      <c r="Q54" s="84"/>
      <c r="R54" s="33"/>
      <c r="S54" s="85"/>
      <c r="T54" s="63"/>
      <c r="U54" s="421"/>
      <c r="V54" s="63"/>
      <c r="W54" s="473"/>
      <c r="X54" s="421" t="s">
        <v>46</v>
      </c>
      <c r="Y54" s="478">
        <v>10000</v>
      </c>
      <c r="Z54" s="478"/>
      <c r="AA54" s="475"/>
      <c r="AB54" s="478"/>
      <c r="AC54" s="33"/>
      <c r="AD54" s="478"/>
      <c r="AE54" s="33"/>
      <c r="AF54" s="33"/>
      <c r="AG54" s="84"/>
      <c r="AH54" s="84"/>
      <c r="AI54" s="186"/>
      <c r="AJ54" s="33"/>
      <c r="AK54" s="33"/>
      <c r="AL54" s="33"/>
      <c r="AM54" s="33"/>
      <c r="AN54" s="33"/>
      <c r="AO54" s="33"/>
      <c r="AP54" s="33"/>
      <c r="AQ54" s="33"/>
      <c r="AR54" s="33"/>
      <c r="AS54" s="33"/>
      <c r="AT54" s="33"/>
      <c r="AU54" s="33"/>
      <c r="AV54" s="33"/>
      <c r="AW54" s="33"/>
      <c r="AX54" s="33"/>
      <c r="AY54" s="33"/>
    </row>
    <row r="55" spans="1:51" ht="18" x14ac:dyDescent="0.25">
      <c r="O55" s="84"/>
      <c r="P55" s="84"/>
      <c r="Q55" s="84"/>
      <c r="R55" s="33"/>
      <c r="S55" s="85"/>
      <c r="T55" s="63"/>
      <c r="U55" s="421"/>
      <c r="V55" s="63"/>
      <c r="W55" s="473"/>
      <c r="X55" s="421" t="s">
        <v>47</v>
      </c>
      <c r="Y55" s="478">
        <v>-2905397.57</v>
      </c>
      <c r="Z55" s="478"/>
      <c r="AA55" s="475"/>
      <c r="AB55" s="478"/>
      <c r="AC55" s="33"/>
      <c r="AD55" s="478"/>
      <c r="AE55" s="33"/>
      <c r="AF55" s="33"/>
      <c r="AG55" s="33"/>
      <c r="AH55" s="33"/>
      <c r="AI55" s="33"/>
      <c r="AJ55" s="33"/>
      <c r="AK55" s="33"/>
      <c r="AL55" s="33"/>
      <c r="AM55" s="33"/>
      <c r="AN55" s="33"/>
      <c r="AO55" s="33"/>
      <c r="AP55" s="33"/>
      <c r="AQ55" s="33"/>
      <c r="AR55" s="33"/>
      <c r="AS55" s="33"/>
      <c r="AT55" s="33"/>
      <c r="AU55" s="33"/>
      <c r="AV55" s="33"/>
      <c r="AW55" s="33"/>
      <c r="AX55" s="33"/>
      <c r="AY55" s="33"/>
    </row>
    <row r="56" spans="1:51" ht="18.75" thickBot="1" x14ac:dyDescent="0.3">
      <c r="O56" s="409"/>
      <c r="P56" s="409"/>
      <c r="Q56" s="409"/>
      <c r="R56" s="463"/>
      <c r="S56" s="33"/>
      <c r="T56" s="63"/>
      <c r="U56" s="33"/>
      <c r="V56" s="63"/>
      <c r="W56" s="475"/>
      <c r="X56" s="421"/>
      <c r="Y56" s="480">
        <f>SUM(Y46:Y55)</f>
        <v>15672616.710000001</v>
      </c>
      <c r="Z56" s="478"/>
      <c r="AA56" s="475"/>
      <c r="AB56" s="478"/>
      <c r="AC56" s="33"/>
      <c r="AD56" s="478"/>
      <c r="AE56" s="33"/>
      <c r="AF56" s="33"/>
      <c r="AG56" s="33"/>
      <c r="AH56" s="33"/>
      <c r="AI56" s="33"/>
      <c r="AJ56" s="33"/>
      <c r="AK56" s="33"/>
      <c r="AL56" s="33"/>
      <c r="AM56" s="33"/>
      <c r="AN56" s="33"/>
      <c r="AO56" s="33"/>
      <c r="AP56" s="33"/>
      <c r="AQ56" s="33"/>
      <c r="AR56" s="33"/>
      <c r="AS56" s="33"/>
      <c r="AT56" s="33"/>
      <c r="AU56" s="33"/>
      <c r="AV56" s="33"/>
      <c r="AW56" s="33"/>
      <c r="AX56" s="33"/>
      <c r="AY56" s="33"/>
    </row>
    <row r="57" spans="1:51" ht="18.75" thickTop="1" x14ac:dyDescent="0.25">
      <c r="O57" s="463"/>
      <c r="P57" s="463"/>
      <c r="Q57" s="463"/>
      <c r="R57" s="463"/>
      <c r="S57" s="33"/>
      <c r="T57" s="63"/>
      <c r="U57" s="33"/>
      <c r="V57" s="63"/>
      <c r="W57" s="475"/>
      <c r="X57" s="475"/>
      <c r="Y57" s="475"/>
      <c r="Z57" s="475"/>
      <c r="AA57" s="475"/>
      <c r="AB57" s="475"/>
      <c r="AC57" s="33"/>
      <c r="AD57" s="475"/>
      <c r="AE57" s="33"/>
      <c r="AF57" s="33"/>
      <c r="AG57" s="33"/>
      <c r="AH57" s="33"/>
      <c r="AI57" s="33"/>
      <c r="AJ57" s="33"/>
      <c r="AK57" s="33"/>
      <c r="AL57" s="33"/>
      <c r="AM57" s="33"/>
      <c r="AN57" s="33"/>
      <c r="AO57" s="33"/>
      <c r="AP57" s="33"/>
      <c r="AQ57" s="33"/>
      <c r="AR57" s="33"/>
      <c r="AS57" s="33"/>
      <c r="AT57" s="33"/>
      <c r="AU57" s="33"/>
      <c r="AV57" s="33"/>
      <c r="AW57" s="33"/>
      <c r="AX57" s="33"/>
      <c r="AY57" s="33"/>
    </row>
    <row r="58" spans="1:51" ht="18" x14ac:dyDescent="0.25">
      <c r="O58" s="463"/>
      <c r="P58" s="33"/>
      <c r="Q58" s="33"/>
      <c r="R58" s="33"/>
      <c r="S58" s="33"/>
      <c r="T58" s="63"/>
      <c r="U58" s="33"/>
      <c r="V58" s="481"/>
      <c r="W58" s="482"/>
      <c r="X58" s="482"/>
      <c r="Y58" s="482"/>
      <c r="Z58" s="482"/>
      <c r="AA58" s="475"/>
      <c r="AB58" s="482"/>
      <c r="AC58" s="33"/>
      <c r="AD58" s="482"/>
      <c r="AE58" s="33"/>
      <c r="AF58" s="33"/>
      <c r="AG58" s="33"/>
      <c r="AH58" s="33"/>
      <c r="AI58" s="33"/>
      <c r="AJ58" s="33"/>
      <c r="AK58" s="33"/>
      <c r="AL58" s="33"/>
      <c r="AM58" s="33"/>
      <c r="AN58" s="33"/>
      <c r="AO58" s="33"/>
      <c r="AP58" s="33"/>
      <c r="AQ58" s="33"/>
      <c r="AR58" s="33"/>
      <c r="AS58" s="33"/>
      <c r="AT58" s="33"/>
      <c r="AU58" s="33"/>
      <c r="AV58" s="33"/>
      <c r="AW58" s="33"/>
      <c r="AX58" s="33"/>
      <c r="AY58" s="33"/>
    </row>
    <row r="59" spans="1:51" ht="18" x14ac:dyDescent="0.25">
      <c r="O59" s="463"/>
      <c r="P59" s="33"/>
      <c r="Q59" s="33"/>
      <c r="R59" s="33"/>
      <c r="S59" s="33"/>
      <c r="T59" s="63"/>
      <c r="U59" s="33"/>
      <c r="V59" s="481"/>
      <c r="W59" s="481"/>
      <c r="X59" s="482"/>
      <c r="Y59" s="482">
        <f>+Y56</f>
        <v>15672616.710000001</v>
      </c>
      <c r="Z59" s="482"/>
      <c r="AA59" s="475"/>
      <c r="AB59" s="482"/>
      <c r="AC59" s="33"/>
      <c r="AD59" s="482"/>
      <c r="AE59" s="33"/>
      <c r="AF59" s="33"/>
      <c r="AG59" s="33"/>
      <c r="AH59" s="33"/>
      <c r="AI59" s="33"/>
      <c r="AJ59" s="33"/>
      <c r="AK59" s="33"/>
      <c r="AL59" s="33"/>
      <c r="AM59" s="33"/>
      <c r="AN59" s="33"/>
      <c r="AO59" s="33"/>
      <c r="AP59" s="33"/>
      <c r="AQ59" s="33"/>
      <c r="AR59" s="33"/>
      <c r="AS59" s="33"/>
      <c r="AT59" s="33"/>
      <c r="AU59" s="33"/>
      <c r="AV59" s="33"/>
      <c r="AW59" s="33"/>
      <c r="AX59" s="33"/>
      <c r="AY59" s="33"/>
    </row>
    <row r="60" spans="1:51" ht="18" x14ac:dyDescent="0.25">
      <c r="O60" s="463"/>
      <c r="P60" s="33"/>
      <c r="Q60" s="33"/>
      <c r="R60" s="33"/>
      <c r="S60" s="33"/>
      <c r="T60" s="63"/>
      <c r="U60" s="33"/>
      <c r="V60" s="481"/>
      <c r="W60" s="481"/>
      <c r="X60" s="482"/>
      <c r="Y60" s="482">
        <f>+Y42</f>
        <v>18516442.329999998</v>
      </c>
      <c r="Z60" s="482"/>
      <c r="AA60" s="475"/>
      <c r="AB60" s="482"/>
      <c r="AC60" s="33"/>
      <c r="AD60" s="482"/>
      <c r="AE60" s="33"/>
      <c r="AF60" s="33"/>
      <c r="AG60" s="33"/>
      <c r="AH60" s="33"/>
      <c r="AI60" s="33"/>
      <c r="AJ60" s="33"/>
      <c r="AK60" s="33"/>
      <c r="AL60" s="33"/>
      <c r="AM60" s="33"/>
      <c r="AN60" s="33"/>
      <c r="AO60" s="33"/>
      <c r="AP60" s="33"/>
      <c r="AQ60" s="33"/>
      <c r="AR60" s="33"/>
      <c r="AS60" s="33"/>
      <c r="AT60" s="33"/>
      <c r="AU60" s="33"/>
      <c r="AV60" s="33"/>
      <c r="AW60" s="33"/>
      <c r="AX60" s="33"/>
      <c r="AY60" s="33"/>
    </row>
    <row r="61" spans="1:51" ht="18.75" thickBot="1" x14ac:dyDescent="0.3">
      <c r="O61" s="463"/>
      <c r="P61" s="33"/>
      <c r="Q61" s="33"/>
      <c r="R61" s="33"/>
      <c r="S61" s="33"/>
      <c r="T61" s="63"/>
      <c r="U61" s="33"/>
      <c r="V61" s="481"/>
      <c r="W61" s="481"/>
      <c r="X61" s="482" t="s">
        <v>48</v>
      </c>
      <c r="Y61" s="483">
        <f>SUM(Y59:Y60)</f>
        <v>34189059.039999999</v>
      </c>
      <c r="Z61" s="484"/>
      <c r="AA61" s="475"/>
      <c r="AB61" s="484"/>
      <c r="AC61" s="33"/>
      <c r="AD61" s="484"/>
      <c r="AE61" s="33"/>
      <c r="AF61" s="33"/>
      <c r="AG61" s="33"/>
      <c r="AH61" s="33"/>
      <c r="AI61" s="33"/>
      <c r="AJ61" s="33"/>
      <c r="AK61" s="33"/>
      <c r="AL61" s="33"/>
      <c r="AM61" s="33"/>
      <c r="AN61" s="33"/>
      <c r="AO61" s="33"/>
      <c r="AP61" s="33"/>
      <c r="AQ61" s="33"/>
      <c r="AR61" s="33"/>
      <c r="AS61" s="33"/>
      <c r="AT61" s="33"/>
      <c r="AU61" s="33"/>
      <c r="AV61" s="33"/>
      <c r="AW61" s="33"/>
      <c r="AX61" s="33"/>
      <c r="AY61" s="33"/>
    </row>
    <row r="62" spans="1:51" ht="18.75" thickTop="1" x14ac:dyDescent="0.25">
      <c r="O62" s="463"/>
      <c r="P62" s="33"/>
      <c r="Q62" s="33"/>
      <c r="R62" s="33"/>
      <c r="S62" s="33"/>
      <c r="T62" s="63"/>
      <c r="U62" s="33"/>
      <c r="V62" s="481"/>
      <c r="W62" s="481"/>
      <c r="X62" s="482" t="s">
        <v>49</v>
      </c>
      <c r="Y62" s="482" t="e">
        <f>+#REF!</f>
        <v>#REF!</v>
      </c>
      <c r="Z62" s="482"/>
      <c r="AA62" s="475"/>
      <c r="AB62" s="482"/>
      <c r="AC62" s="33"/>
      <c r="AD62" s="482"/>
      <c r="AE62" s="33"/>
      <c r="AF62" s="33"/>
      <c r="AG62" s="33"/>
      <c r="AH62" s="33"/>
      <c r="AI62" s="33"/>
      <c r="AJ62" s="33"/>
      <c r="AK62" s="33"/>
      <c r="AL62" s="33"/>
      <c r="AM62" s="33"/>
      <c r="AN62" s="33"/>
      <c r="AO62" s="33"/>
      <c r="AP62" s="33"/>
      <c r="AQ62" s="33"/>
      <c r="AR62" s="33"/>
      <c r="AS62" s="33"/>
      <c r="AT62" s="33"/>
      <c r="AU62" s="33"/>
      <c r="AV62" s="33"/>
      <c r="AW62" s="33"/>
      <c r="AX62" s="33"/>
      <c r="AY62" s="33"/>
    </row>
    <row r="63" spans="1:51" ht="18" x14ac:dyDescent="0.25">
      <c r="O63" s="463"/>
      <c r="P63" s="33"/>
      <c r="Q63" s="33"/>
      <c r="R63" s="33"/>
      <c r="S63" s="33"/>
      <c r="T63" s="63"/>
      <c r="U63" s="33"/>
      <c r="V63" s="63"/>
      <c r="W63" s="63"/>
      <c r="X63" s="475"/>
      <c r="Y63" s="475" t="e">
        <f>+Y61-Y62</f>
        <v>#REF!</v>
      </c>
      <c r="Z63" s="475"/>
      <c r="AA63" s="475"/>
      <c r="AB63" s="475"/>
      <c r="AC63" s="33"/>
      <c r="AD63" s="475"/>
      <c r="AE63" s="33"/>
      <c r="AF63" s="33"/>
      <c r="AG63" s="33"/>
      <c r="AH63" s="33"/>
      <c r="AI63" s="33"/>
      <c r="AJ63" s="33"/>
      <c r="AK63" s="33"/>
      <c r="AL63" s="33"/>
      <c r="AM63" s="33"/>
      <c r="AN63" s="33"/>
      <c r="AO63" s="33"/>
      <c r="AP63" s="33"/>
      <c r="AQ63" s="33"/>
      <c r="AR63" s="33"/>
      <c r="AS63" s="33"/>
      <c r="AT63" s="33"/>
      <c r="AU63" s="33"/>
      <c r="AV63" s="33"/>
      <c r="AW63" s="33"/>
      <c r="AX63" s="33"/>
      <c r="AY63" s="33"/>
    </row>
    <row r="64" spans="1:51" ht="18" x14ac:dyDescent="0.25">
      <c r="O64" s="463"/>
      <c r="P64" s="33"/>
      <c r="Q64" s="33"/>
      <c r="R64" s="33"/>
      <c r="S64" s="33"/>
      <c r="T64" s="63"/>
      <c r="U64" s="33"/>
      <c r="V64" s="63"/>
      <c r="W64" s="63"/>
      <c r="X64" s="475"/>
      <c r="Y64" s="475"/>
      <c r="Z64" s="475"/>
      <c r="AA64" s="475"/>
      <c r="AB64" s="475"/>
      <c r="AC64" s="33"/>
      <c r="AD64" s="475"/>
      <c r="AE64" s="33"/>
      <c r="AF64" s="33"/>
      <c r="AG64" s="33"/>
      <c r="AH64" s="33"/>
      <c r="AI64" s="33"/>
      <c r="AJ64" s="33"/>
      <c r="AK64" s="33"/>
      <c r="AL64" s="33"/>
      <c r="AM64" s="33"/>
      <c r="AN64" s="33"/>
      <c r="AO64" s="33"/>
      <c r="AP64" s="33"/>
      <c r="AQ64" s="33"/>
      <c r="AR64" s="33"/>
      <c r="AS64" s="33"/>
      <c r="AT64" s="33"/>
      <c r="AU64" s="33"/>
      <c r="AV64" s="33"/>
      <c r="AW64" s="33"/>
      <c r="AX64" s="33"/>
      <c r="AY64" s="33"/>
    </row>
    <row r="65" spans="1:51" x14ac:dyDescent="0.2">
      <c r="X65" s="485"/>
      <c r="Y65" s="421"/>
      <c r="Z65" s="421"/>
      <c r="AA65" s="485"/>
      <c r="AB65" s="421"/>
      <c r="AD65" s="421"/>
      <c r="AF65" s="33"/>
      <c r="AG65" s="33"/>
      <c r="AH65" s="33"/>
      <c r="AI65" s="33"/>
      <c r="AJ65" s="33"/>
      <c r="AK65" s="33"/>
      <c r="AL65" s="33"/>
      <c r="AM65" s="33"/>
      <c r="AN65" s="33"/>
      <c r="AO65" s="33"/>
      <c r="AP65" s="33"/>
      <c r="AQ65" s="33"/>
      <c r="AR65" s="33"/>
      <c r="AS65" s="33"/>
      <c r="AT65" s="33"/>
      <c r="AU65" s="33"/>
      <c r="AV65" s="33"/>
      <c r="AW65" s="33"/>
      <c r="AX65" s="33"/>
      <c r="AY65" s="33"/>
    </row>
    <row r="66" spans="1:51" x14ac:dyDescent="0.2">
      <c r="X66" s="485"/>
      <c r="Y66" s="485"/>
      <c r="Z66" s="485"/>
      <c r="AA66" s="485"/>
      <c r="AB66" s="485"/>
      <c r="AD66" s="485"/>
      <c r="AF66" s="33"/>
      <c r="AG66" s="33"/>
      <c r="AH66" s="33"/>
      <c r="AI66" s="33"/>
      <c r="AJ66" s="33"/>
      <c r="AK66" s="33"/>
      <c r="AL66" s="33"/>
      <c r="AM66" s="33"/>
      <c r="AN66" s="33"/>
      <c r="AO66" s="33"/>
      <c r="AP66" s="33"/>
      <c r="AQ66" s="33"/>
      <c r="AR66" s="33"/>
      <c r="AS66" s="33"/>
      <c r="AT66" s="33"/>
      <c r="AU66" s="33"/>
      <c r="AV66" s="33"/>
      <c r="AW66" s="33"/>
      <c r="AX66" s="33"/>
      <c r="AY66" s="33"/>
    </row>
    <row r="67" spans="1:51" ht="15.75" thickBot="1" x14ac:dyDescent="0.25">
      <c r="X67" s="485"/>
      <c r="Y67" s="485"/>
      <c r="Z67" s="485"/>
      <c r="AA67" s="485"/>
      <c r="AB67" s="485"/>
      <c r="AD67" s="485"/>
      <c r="AG67" s="33"/>
      <c r="AH67" s="33"/>
      <c r="AI67" s="33"/>
      <c r="AJ67" s="33"/>
    </row>
    <row r="68" spans="1:51" ht="90.75" thickBot="1" x14ac:dyDescent="0.25">
      <c r="A68" s="57" t="s">
        <v>50</v>
      </c>
      <c r="B68" s="486" t="s">
        <v>51</v>
      </c>
      <c r="C68" s="486" t="s">
        <v>52</v>
      </c>
      <c r="D68" s="486" t="s">
        <v>53</v>
      </c>
      <c r="E68" s="486" t="s">
        <v>54</v>
      </c>
      <c r="F68" s="486" t="s">
        <v>55</v>
      </c>
      <c r="G68" s="486" t="s">
        <v>56</v>
      </c>
      <c r="H68" s="486" t="s">
        <v>57</v>
      </c>
      <c r="I68" s="486" t="s">
        <v>58</v>
      </c>
      <c r="J68" s="486" t="s">
        <v>59</v>
      </c>
      <c r="K68" s="487" t="s">
        <v>22</v>
      </c>
      <c r="L68" s="463"/>
      <c r="M68" s="33"/>
      <c r="N68" s="84"/>
      <c r="X68" s="485"/>
      <c r="Y68" s="485"/>
      <c r="Z68" s="485"/>
      <c r="AA68" s="485"/>
      <c r="AB68" s="485"/>
      <c r="AD68" s="485"/>
      <c r="AH68" s="33"/>
    </row>
    <row r="69" spans="1:51" x14ac:dyDescent="0.2">
      <c r="A69" s="58" t="s">
        <v>60</v>
      </c>
      <c r="B69" s="488">
        <f>D85+D86</f>
        <v>0</v>
      </c>
      <c r="C69" s="488">
        <f>O85+O86</f>
        <v>0</v>
      </c>
      <c r="D69" s="488">
        <v>0</v>
      </c>
      <c r="E69" s="488">
        <v>0</v>
      </c>
      <c r="F69" s="488">
        <f>-K85-K86</f>
        <v>0</v>
      </c>
      <c r="G69" s="488">
        <f>B69+C69+D69-E69-F69</f>
        <v>0</v>
      </c>
      <c r="H69" s="488">
        <v>0</v>
      </c>
      <c r="I69" s="488">
        <v>0</v>
      </c>
      <c r="J69" s="489">
        <f>G69-H69+I69</f>
        <v>0</v>
      </c>
      <c r="K69" s="85" t="s">
        <v>61</v>
      </c>
      <c r="L69" s="463"/>
      <c r="M69" s="463"/>
      <c r="N69" s="409"/>
      <c r="X69" s="485"/>
      <c r="Y69" s="485"/>
      <c r="Z69" s="485"/>
      <c r="AA69" s="485"/>
      <c r="AB69" s="485"/>
      <c r="AD69" s="485"/>
    </row>
    <row r="70" spans="1:51" x14ac:dyDescent="0.2">
      <c r="A70" s="59"/>
      <c r="B70" s="490"/>
      <c r="C70" s="490"/>
      <c r="D70" s="490"/>
      <c r="E70" s="490"/>
      <c r="F70" s="490"/>
      <c r="G70" s="490" t="s">
        <v>22</v>
      </c>
      <c r="H70" s="490" t="s">
        <v>22</v>
      </c>
      <c r="I70" s="490"/>
      <c r="J70" s="491"/>
      <c r="K70" s="85"/>
      <c r="L70" s="463" t="s">
        <v>62</v>
      </c>
      <c r="M70" s="463">
        <v>11690963.15</v>
      </c>
      <c r="N70" s="463"/>
      <c r="X70" s="485"/>
      <c r="Y70" s="485"/>
      <c r="Z70" s="485"/>
      <c r="AA70" s="485"/>
      <c r="AB70" s="485"/>
      <c r="AD70" s="485"/>
    </row>
    <row r="71" spans="1:51" x14ac:dyDescent="0.2">
      <c r="A71" s="59" t="s">
        <v>63</v>
      </c>
      <c r="B71" s="490">
        <f>D89+D90</f>
        <v>0</v>
      </c>
      <c r="C71" s="490">
        <f>O89+O90</f>
        <v>0</v>
      </c>
      <c r="D71" s="490">
        <f>J89</f>
        <v>0</v>
      </c>
      <c r="E71" s="490">
        <f>-F89</f>
        <v>0</v>
      </c>
      <c r="F71" s="490">
        <f>K89+K90</f>
        <v>0</v>
      </c>
      <c r="G71" s="490">
        <f>B71+C71+D71-E71-F71</f>
        <v>0</v>
      </c>
      <c r="H71" s="490">
        <v>0</v>
      </c>
      <c r="I71" s="490">
        <v>0</v>
      </c>
      <c r="J71" s="491">
        <f>G71-H71+I71</f>
        <v>0</v>
      </c>
      <c r="K71" s="85" t="s">
        <v>22</v>
      </c>
      <c r="L71" s="463" t="s">
        <v>64</v>
      </c>
      <c r="M71" s="463">
        <v>-1341441.23</v>
      </c>
      <c r="N71" s="463"/>
      <c r="X71" s="485"/>
      <c r="Y71" s="485"/>
      <c r="Z71" s="485"/>
      <c r="AA71" s="485"/>
      <c r="AB71" s="485"/>
      <c r="AD71" s="485"/>
    </row>
    <row r="72" spans="1:51" x14ac:dyDescent="0.2">
      <c r="A72" s="59"/>
      <c r="B72" s="490">
        <f>D92</f>
        <v>0</v>
      </c>
      <c r="C72" s="490" t="s">
        <v>22</v>
      </c>
      <c r="D72" s="491"/>
      <c r="E72" s="491"/>
      <c r="F72" s="491"/>
      <c r="G72" s="490" t="s">
        <v>22</v>
      </c>
      <c r="H72" s="491" t="s">
        <v>22</v>
      </c>
      <c r="I72" s="490" t="s">
        <v>22</v>
      </c>
      <c r="J72" s="491" t="s">
        <v>22</v>
      </c>
      <c r="K72" s="85" t="s">
        <v>22</v>
      </c>
      <c r="L72" s="463" t="s">
        <v>65</v>
      </c>
      <c r="M72" s="463"/>
      <c r="N72" s="463"/>
      <c r="X72" s="485"/>
      <c r="Y72" s="485"/>
      <c r="Z72" s="485"/>
      <c r="AA72" s="485"/>
      <c r="AB72" s="485"/>
      <c r="AD72" s="485"/>
    </row>
    <row r="73" spans="1:51" x14ac:dyDescent="0.2">
      <c r="A73" s="59" t="s">
        <v>66</v>
      </c>
      <c r="B73" s="490">
        <f>D93+D94</f>
        <v>0</v>
      </c>
      <c r="C73" s="490">
        <f>O93</f>
        <v>0</v>
      </c>
      <c r="D73" s="490">
        <v>0</v>
      </c>
      <c r="E73" s="490" t="s">
        <v>22</v>
      </c>
      <c r="F73" s="490">
        <f>K93+K94</f>
        <v>0</v>
      </c>
      <c r="G73" s="490" t="e">
        <f>B73+C73+D73-E73-F73</f>
        <v>#VALUE!</v>
      </c>
      <c r="H73" s="490">
        <v>0</v>
      </c>
      <c r="I73" s="490">
        <v>0</v>
      </c>
      <c r="J73" s="491" t="e">
        <f>G73-H73+I73</f>
        <v>#VALUE!</v>
      </c>
      <c r="K73" s="85" t="s">
        <v>22</v>
      </c>
      <c r="L73" s="463" t="s">
        <v>67</v>
      </c>
      <c r="M73" s="463">
        <f>M70+M71</f>
        <v>10349521.92</v>
      </c>
      <c r="N73" s="463"/>
      <c r="X73" s="485"/>
      <c r="Y73" s="485"/>
      <c r="Z73" s="485"/>
      <c r="AA73" s="485"/>
      <c r="AB73" s="485"/>
      <c r="AD73" s="485"/>
    </row>
    <row r="74" spans="1:51" x14ac:dyDescent="0.2">
      <c r="A74" s="59"/>
      <c r="B74" s="490"/>
      <c r="C74" s="490"/>
      <c r="D74" s="491"/>
      <c r="E74" s="491" t="s">
        <v>22</v>
      </c>
      <c r="F74" s="491"/>
      <c r="G74" s="490" t="s">
        <v>22</v>
      </c>
      <c r="H74" s="491" t="s">
        <v>22</v>
      </c>
      <c r="I74" s="490" t="s">
        <v>22</v>
      </c>
      <c r="J74" s="491"/>
      <c r="K74" s="85" t="s">
        <v>22</v>
      </c>
      <c r="L74" s="463" t="s">
        <v>68</v>
      </c>
      <c r="M74" s="492">
        <v>1.6400000000000001E-2</v>
      </c>
      <c r="N74" s="463"/>
      <c r="X74" s="485"/>
      <c r="Y74" s="485"/>
      <c r="Z74" s="485"/>
      <c r="AA74" s="485"/>
      <c r="AB74" s="485"/>
      <c r="AD74" s="485"/>
    </row>
    <row r="75" spans="1:51" x14ac:dyDescent="0.2">
      <c r="A75" s="59" t="s">
        <v>69</v>
      </c>
      <c r="B75" s="490">
        <f>D98+D99</f>
        <v>0</v>
      </c>
      <c r="C75" s="490">
        <f>O98+O99</f>
        <v>0</v>
      </c>
      <c r="D75" s="490">
        <f>E98+E99+G98</f>
        <v>0</v>
      </c>
      <c r="E75" s="490">
        <v>0</v>
      </c>
      <c r="F75" s="490">
        <f>K98+K99</f>
        <v>0</v>
      </c>
      <c r="G75" s="490">
        <f>B75+C75+D75-E75-F75</f>
        <v>0</v>
      </c>
      <c r="H75" s="490">
        <f>L98</f>
        <v>0</v>
      </c>
      <c r="I75" s="490">
        <f>M77</f>
        <v>55337.334189238361</v>
      </c>
      <c r="J75" s="491">
        <f>G75-H75+I75</f>
        <v>55337.334189238361</v>
      </c>
      <c r="K75" s="85" t="s">
        <v>22</v>
      </c>
      <c r="L75" s="463" t="s">
        <v>70</v>
      </c>
      <c r="M75" s="463"/>
      <c r="N75" s="463"/>
      <c r="X75" s="485"/>
      <c r="Y75" s="485"/>
      <c r="Z75" s="485"/>
      <c r="AA75" s="485"/>
      <c r="AB75" s="485"/>
      <c r="AD75" s="485"/>
    </row>
    <row r="76" spans="1:51" x14ac:dyDescent="0.2">
      <c r="A76" s="59" t="s">
        <v>22</v>
      </c>
      <c r="B76" s="490" t="s">
        <v>22</v>
      </c>
      <c r="C76" s="490" t="s">
        <v>22</v>
      </c>
      <c r="D76" s="491"/>
      <c r="E76" s="491" t="s">
        <v>22</v>
      </c>
      <c r="F76" s="491"/>
      <c r="G76" s="490" t="s">
        <v>22</v>
      </c>
      <c r="H76" s="490" t="s">
        <v>22</v>
      </c>
      <c r="I76" s="490" t="s">
        <v>22</v>
      </c>
      <c r="J76" s="491" t="s">
        <v>22</v>
      </c>
      <c r="K76" s="85" t="s">
        <v>22</v>
      </c>
      <c r="L76" s="463" t="s">
        <v>71</v>
      </c>
      <c r="M76" s="463">
        <v>119</v>
      </c>
      <c r="N76" s="463"/>
      <c r="X76" s="485"/>
      <c r="Y76" s="485"/>
      <c r="Z76" s="485"/>
      <c r="AA76" s="485"/>
      <c r="AB76" s="485"/>
      <c r="AD76" s="485"/>
    </row>
    <row r="77" spans="1:51" x14ac:dyDescent="0.2">
      <c r="A77" s="59" t="s">
        <v>72</v>
      </c>
      <c r="B77" s="490">
        <v>0</v>
      </c>
      <c r="C77" s="490">
        <v>0</v>
      </c>
      <c r="D77" s="491" t="s">
        <v>22</v>
      </c>
      <c r="E77" s="490"/>
      <c r="F77" s="491">
        <v>0</v>
      </c>
      <c r="G77" s="490">
        <v>0</v>
      </c>
      <c r="H77" s="491">
        <v>0</v>
      </c>
      <c r="I77" s="490">
        <v>0</v>
      </c>
      <c r="J77" s="491">
        <f>G77-H77+I77</f>
        <v>0</v>
      </c>
      <c r="K77" s="85"/>
      <c r="L77" s="463"/>
      <c r="M77" s="463">
        <f>M73*M74*M76/365</f>
        <v>55337.334189238361</v>
      </c>
      <c r="N77" s="463"/>
      <c r="X77" s="485"/>
      <c r="Y77" s="485"/>
      <c r="Z77" s="485"/>
      <c r="AA77" s="485"/>
      <c r="AB77" s="485"/>
      <c r="AD77" s="485"/>
    </row>
    <row r="78" spans="1:51" x14ac:dyDescent="0.2">
      <c r="X78" s="485"/>
      <c r="Y78" s="485"/>
      <c r="Z78" s="485"/>
      <c r="AA78" s="485"/>
      <c r="AB78" s="485"/>
      <c r="AD78" s="485"/>
    </row>
    <row r="79" spans="1:51" x14ac:dyDescent="0.2">
      <c r="X79" s="485"/>
      <c r="Y79" s="485"/>
      <c r="Z79" s="485"/>
      <c r="AA79" s="485"/>
      <c r="AB79" s="485"/>
      <c r="AD79" s="485"/>
    </row>
    <row r="80" spans="1:51" x14ac:dyDescent="0.2">
      <c r="X80" s="485"/>
      <c r="Y80" s="485"/>
      <c r="Z80" s="485"/>
      <c r="AA80" s="485"/>
      <c r="AB80" s="485"/>
      <c r="AD80" s="485"/>
    </row>
    <row r="81" spans="24:30" x14ac:dyDescent="0.2">
      <c r="X81" s="485"/>
      <c r="Y81" s="485"/>
      <c r="Z81" s="485"/>
      <c r="AA81" s="485"/>
      <c r="AB81" s="485"/>
      <c r="AD81" s="485"/>
    </row>
    <row r="82" spans="24:30" x14ac:dyDescent="0.2">
      <c r="X82" s="485"/>
      <c r="Y82" s="485"/>
      <c r="Z82" s="485"/>
      <c r="AA82" s="485"/>
      <c r="AB82" s="485"/>
      <c r="AD82" s="485"/>
    </row>
  </sheetData>
  <mergeCells count="2">
    <mergeCell ref="A18:A19"/>
    <mergeCell ref="A9:A10"/>
  </mergeCells>
  <printOptions horizontalCentered="1"/>
  <pageMargins left="0.59" right="0.46" top="1" bottom="1" header="0.5" footer="0.25"/>
  <pageSetup scale="76" orientation="portrait" r:id="rId1"/>
  <headerFooter alignWithMargins="0">
    <oddHeader>&amp;R&amp;16Exhibit B</oddHeader>
  </headerFooter>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1C32DA-AF51-4124-9FD0-EC15BDF57A7B}">
  <dimension ref="A1:D16"/>
  <sheetViews>
    <sheetView zoomScaleNormal="100" workbookViewId="0">
      <selection activeCell="B30" sqref="B30:B31"/>
    </sheetView>
  </sheetViews>
  <sheetFormatPr defaultColWidth="8.88671875" defaultRowHeight="15.75" x14ac:dyDescent="0.25"/>
  <cols>
    <col min="1" max="1" width="56.88671875" style="523" customWidth="1"/>
    <col min="2" max="2" width="17.21875" style="528" customWidth="1"/>
    <col min="3" max="3" width="8.88671875" style="523"/>
    <col min="4" max="4" width="10.44140625" style="523" bestFit="1" customWidth="1"/>
    <col min="5" max="16384" width="8.88671875" style="523"/>
  </cols>
  <sheetData>
    <row r="1" spans="1:4" x14ac:dyDescent="0.25">
      <c r="A1" s="642" t="s">
        <v>0</v>
      </c>
      <c r="B1" s="642"/>
    </row>
    <row r="2" spans="1:4" x14ac:dyDescent="0.25">
      <c r="A2" s="642" t="s">
        <v>209</v>
      </c>
      <c r="B2" s="642"/>
    </row>
    <row r="3" spans="1:4" ht="15" x14ac:dyDescent="0.25">
      <c r="A3" s="643" t="s">
        <v>210</v>
      </c>
      <c r="B3" s="643"/>
    </row>
    <row r="6" spans="1:4" x14ac:dyDescent="0.25">
      <c r="A6" s="524" t="s">
        <v>211</v>
      </c>
      <c r="B6" s="525" t="s">
        <v>212</v>
      </c>
    </row>
    <row r="7" spans="1:4" x14ac:dyDescent="0.25">
      <c r="A7" s="523" t="s">
        <v>213</v>
      </c>
      <c r="B7" s="526">
        <v>484270</v>
      </c>
    </row>
    <row r="8" spans="1:4" x14ac:dyDescent="0.25">
      <c r="A8" s="531" t="s">
        <v>215</v>
      </c>
      <c r="B8" s="527">
        <v>549840</v>
      </c>
    </row>
    <row r="9" spans="1:4" x14ac:dyDescent="0.25">
      <c r="A9" s="523" t="s">
        <v>214</v>
      </c>
      <c r="B9" s="526">
        <f>SUM(B7:B8)</f>
        <v>1034110</v>
      </c>
    </row>
    <row r="16" spans="1:4" x14ac:dyDescent="0.25">
      <c r="C16" s="529"/>
      <c r="D16" s="530"/>
    </row>
  </sheetData>
  <mergeCells count="3">
    <mergeCell ref="A1:B1"/>
    <mergeCell ref="A2:B2"/>
    <mergeCell ref="A3:B3"/>
  </mergeCells>
  <pageMargins left="0.7" right="0.7" top="0.75" bottom="0.75" header="0.5" footer="0.3"/>
  <pageSetup orientation="portrait" r:id="rId1"/>
  <headerFooter>
    <oddHeader>&amp;R&amp;"Arial,Regular"Exhibit D</oddHead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5"/>
  <dimension ref="A1:BK96"/>
  <sheetViews>
    <sheetView view="pageBreakPreview" topLeftCell="A7" zoomScale="60" zoomScaleNormal="90" workbookViewId="0">
      <selection activeCell="L23" sqref="L22:L23"/>
    </sheetView>
  </sheetViews>
  <sheetFormatPr defaultColWidth="8.88671875" defaultRowHeight="15" x14ac:dyDescent="0.2"/>
  <cols>
    <col min="1" max="1" width="40.5546875" style="34" customWidth="1"/>
    <col min="2" max="15" width="8.77734375" style="34" hidden="1" customWidth="1"/>
    <col min="16" max="17" width="15.77734375" style="34" hidden="1" customWidth="1"/>
    <col min="18" max="18" width="14.109375" style="34" hidden="1" customWidth="1"/>
    <col min="19" max="19" width="13.33203125" style="34" hidden="1" customWidth="1"/>
    <col min="20" max="20" width="14.6640625" style="34" hidden="1" customWidth="1"/>
    <col min="21" max="21" width="13.33203125" style="34" hidden="1" customWidth="1"/>
    <col min="22" max="25" width="13.77734375" style="34" hidden="1" customWidth="1"/>
    <col min="26" max="26" width="19" style="34" customWidth="1"/>
    <col min="27" max="27" width="20.77734375" style="34" customWidth="1"/>
    <col min="28" max="28" width="21.88671875" style="34" customWidth="1"/>
    <col min="29" max="30" width="13.77734375" style="34" customWidth="1"/>
    <col min="31" max="31" width="14.109375" style="34" customWidth="1"/>
    <col min="32" max="32" width="13.88671875" style="34" customWidth="1"/>
    <col min="33" max="33" width="16.33203125" style="34" customWidth="1"/>
    <col min="34" max="34" width="14.77734375" style="34" customWidth="1"/>
    <col min="35" max="48" width="9.6640625" style="34" customWidth="1"/>
    <col min="49" max="16384" width="8.88671875" style="34"/>
  </cols>
  <sheetData>
    <row r="1" spans="1:63" s="10" customFormat="1" ht="30" customHeight="1" x14ac:dyDescent="0.4">
      <c r="A1" s="1" t="s">
        <v>0</v>
      </c>
      <c r="B1" s="2"/>
      <c r="C1" s="2"/>
      <c r="D1" s="2"/>
      <c r="E1" s="2"/>
      <c r="F1" s="2"/>
      <c r="G1" s="2"/>
      <c r="H1" s="2"/>
      <c r="I1" s="2"/>
      <c r="J1" s="2"/>
      <c r="K1" s="2"/>
      <c r="L1" s="2"/>
      <c r="M1" s="2"/>
      <c r="N1" s="2"/>
      <c r="O1" s="2"/>
      <c r="P1" s="2"/>
      <c r="Q1" s="2"/>
      <c r="R1" s="2"/>
      <c r="S1" s="3"/>
      <c r="T1" s="1"/>
      <c r="U1" s="3"/>
      <c r="V1" s="4"/>
      <c r="W1" s="4"/>
      <c r="X1" s="4"/>
      <c r="Y1" s="4"/>
      <c r="Z1" s="5"/>
      <c r="AA1" s="6"/>
      <c r="AB1" s="7"/>
      <c r="AC1" s="8"/>
      <c r="AD1" s="8"/>
      <c r="AE1" s="9"/>
      <c r="AF1" s="9"/>
      <c r="AG1" s="9"/>
      <c r="AH1" s="9"/>
      <c r="AI1" s="9"/>
      <c r="AJ1" s="9"/>
      <c r="AK1" s="9"/>
      <c r="AL1" s="9"/>
      <c r="AM1" s="9"/>
      <c r="AN1" s="9"/>
      <c r="AO1" s="9"/>
      <c r="AP1" s="9"/>
      <c r="AQ1" s="9"/>
      <c r="AR1" s="9"/>
      <c r="AS1" s="9"/>
      <c r="AT1" s="9"/>
      <c r="AU1" s="9"/>
      <c r="AV1" s="9"/>
    </row>
    <row r="2" spans="1:63" s="16" customFormat="1" ht="24.95" customHeight="1" x14ac:dyDescent="0.35">
      <c r="A2" s="11" t="s">
        <v>143</v>
      </c>
      <c r="B2" s="12"/>
      <c r="C2" s="12"/>
      <c r="D2" s="12"/>
      <c r="E2" s="12"/>
      <c r="F2" s="12"/>
      <c r="G2" s="12"/>
      <c r="H2" s="12"/>
      <c r="I2" s="12"/>
      <c r="J2" s="12"/>
      <c r="K2" s="12"/>
      <c r="L2" s="12"/>
      <c r="M2" s="12"/>
      <c r="N2" s="12"/>
      <c r="O2" s="12"/>
      <c r="P2" s="12"/>
      <c r="Q2" s="12"/>
      <c r="R2" s="12"/>
      <c r="S2" s="13"/>
      <c r="T2" s="11"/>
      <c r="U2" s="13"/>
      <c r="V2" s="11"/>
      <c r="W2" s="11"/>
      <c r="X2" s="11"/>
      <c r="Y2" s="11"/>
      <c r="Z2" s="11"/>
      <c r="AA2" s="13"/>
      <c r="AB2" s="13"/>
      <c r="AC2" s="14"/>
      <c r="AD2" s="14"/>
      <c r="AE2" s="15"/>
      <c r="AF2" s="15"/>
      <c r="AG2" s="15"/>
      <c r="AH2" s="15"/>
      <c r="AI2" s="15"/>
      <c r="AJ2" s="15"/>
      <c r="AK2" s="15"/>
      <c r="AL2" s="15"/>
      <c r="AM2" s="15"/>
      <c r="AN2" s="15"/>
      <c r="AO2" s="15"/>
      <c r="AP2" s="15"/>
      <c r="AQ2" s="15"/>
      <c r="AR2" s="15"/>
      <c r="AS2" s="15"/>
      <c r="AT2" s="15"/>
      <c r="AU2" s="15"/>
      <c r="AV2" s="15"/>
    </row>
    <row r="3" spans="1:63" s="23" customFormat="1" ht="14.25" customHeight="1" x14ac:dyDescent="0.45">
      <c r="A3" s="17"/>
      <c r="B3" s="18"/>
      <c r="C3" s="18"/>
      <c r="D3" s="18"/>
      <c r="E3" s="18"/>
      <c r="F3" s="18"/>
      <c r="G3" s="18"/>
      <c r="H3" s="18"/>
      <c r="I3" s="18"/>
      <c r="J3" s="18"/>
      <c r="K3" s="18"/>
      <c r="L3" s="18"/>
      <c r="M3" s="18"/>
      <c r="N3" s="18"/>
      <c r="O3" s="18"/>
      <c r="P3" s="18"/>
      <c r="Q3" s="18"/>
      <c r="R3" s="18"/>
      <c r="S3" s="19"/>
      <c r="T3" s="20"/>
      <c r="U3" s="19"/>
      <c r="V3" s="20"/>
      <c r="W3" s="20"/>
      <c r="X3" s="20"/>
      <c r="Y3" s="20"/>
      <c r="Z3" s="20"/>
      <c r="AA3" s="19"/>
      <c r="AB3" s="19"/>
      <c r="AC3" s="21"/>
      <c r="AD3" s="21"/>
      <c r="AE3" s="22"/>
      <c r="AF3" s="22"/>
      <c r="AG3" s="22"/>
      <c r="AH3" s="22"/>
      <c r="AI3" s="22"/>
      <c r="AJ3" s="22"/>
      <c r="AK3" s="22"/>
      <c r="AL3" s="22"/>
      <c r="AM3" s="22"/>
      <c r="AN3" s="22"/>
      <c r="AO3" s="22"/>
      <c r="AP3" s="22"/>
      <c r="AQ3" s="22"/>
      <c r="AR3" s="22"/>
      <c r="AS3" s="22"/>
      <c r="AT3" s="22"/>
      <c r="AU3" s="22"/>
      <c r="AV3" s="22"/>
    </row>
    <row r="4" spans="1:63" s="29" customFormat="1" ht="20.25" customHeight="1" x14ac:dyDescent="0.3">
      <c r="A4" s="292" t="s">
        <v>142</v>
      </c>
      <c r="B4" s="24"/>
      <c r="C4" s="24"/>
      <c r="D4" s="24"/>
      <c r="E4" s="24"/>
      <c r="F4" s="24"/>
      <c r="G4" s="24"/>
      <c r="H4" s="24"/>
      <c r="I4" s="24"/>
      <c r="J4" s="24"/>
      <c r="K4" s="24"/>
      <c r="L4" s="24"/>
      <c r="M4" s="24"/>
      <c r="N4" s="24"/>
      <c r="O4" s="24"/>
      <c r="P4" s="24"/>
      <c r="Q4" s="24"/>
      <c r="R4" s="24"/>
      <c r="S4" s="25"/>
      <c r="T4" s="26"/>
      <c r="U4" s="25"/>
      <c r="V4" s="26"/>
      <c r="W4" s="26"/>
      <c r="X4" s="26"/>
      <c r="Y4" s="26"/>
      <c r="Z4" s="26"/>
      <c r="AA4" s="25"/>
      <c r="AB4" s="25"/>
      <c r="AC4" s="27"/>
      <c r="AD4" s="27"/>
      <c r="AE4" s="28"/>
      <c r="AF4" s="28"/>
      <c r="AG4" s="28"/>
      <c r="AH4" s="28"/>
      <c r="AI4" s="28"/>
      <c r="AJ4" s="28"/>
      <c r="AK4" s="28"/>
      <c r="AL4" s="28"/>
      <c r="AM4" s="28"/>
      <c r="AN4" s="28"/>
      <c r="AO4" s="28"/>
      <c r="AP4" s="28"/>
      <c r="AQ4" s="28"/>
      <c r="AR4" s="28"/>
      <c r="AS4" s="28"/>
      <c r="AT4" s="28"/>
      <c r="AU4" s="28"/>
      <c r="AV4" s="28"/>
    </row>
    <row r="5" spans="1:63" s="29" customFormat="1" ht="20.25" customHeight="1" x14ac:dyDescent="0.3">
      <c r="A5" s="292" t="s">
        <v>7</v>
      </c>
      <c r="B5" s="24"/>
      <c r="C5" s="24"/>
      <c r="D5" s="24"/>
      <c r="E5" s="24"/>
      <c r="F5" s="24"/>
      <c r="G5" s="24"/>
      <c r="H5" s="24"/>
      <c r="I5" s="24"/>
      <c r="J5" s="24"/>
      <c r="K5" s="24"/>
      <c r="L5" s="24"/>
      <c r="M5" s="24"/>
      <c r="N5" s="24"/>
      <c r="O5" s="24"/>
      <c r="P5" s="24"/>
      <c r="Q5" s="24"/>
      <c r="R5" s="24"/>
      <c r="S5" s="25"/>
      <c r="T5" s="26"/>
      <c r="U5" s="25"/>
      <c r="V5" s="26"/>
      <c r="W5" s="26"/>
      <c r="X5" s="26"/>
      <c r="Y5" s="26"/>
      <c r="Z5" s="26"/>
      <c r="AA5" s="25"/>
      <c r="AB5" s="25"/>
      <c r="AC5" s="27"/>
      <c r="AD5" s="27"/>
      <c r="AE5" s="28"/>
      <c r="AF5" s="28"/>
      <c r="AG5" s="28"/>
      <c r="AH5" s="28"/>
      <c r="AI5" s="28"/>
      <c r="AJ5" s="28"/>
      <c r="AK5" s="28"/>
      <c r="AL5" s="28"/>
      <c r="AM5" s="28"/>
      <c r="AN5" s="28"/>
      <c r="AO5" s="28"/>
      <c r="AP5" s="28"/>
      <c r="AQ5" s="28"/>
      <c r="AR5" s="28"/>
      <c r="AS5" s="28"/>
      <c r="AT5" s="28"/>
      <c r="AU5" s="28"/>
      <c r="AV5" s="28"/>
    </row>
    <row r="6" spans="1:63" ht="18.75" x14ac:dyDescent="0.3">
      <c r="A6" s="26"/>
      <c r="B6" s="30"/>
      <c r="C6" s="30"/>
      <c r="D6" s="30"/>
      <c r="E6" s="30"/>
      <c r="F6" s="30"/>
      <c r="G6" s="30"/>
      <c r="H6" s="30"/>
      <c r="I6" s="30"/>
      <c r="J6" s="30"/>
      <c r="K6" s="30"/>
      <c r="L6" s="30"/>
      <c r="M6" s="30"/>
      <c r="N6" s="30"/>
      <c r="O6" s="30"/>
      <c r="P6" s="30"/>
      <c r="Q6" s="30"/>
      <c r="R6" s="30"/>
      <c r="S6" s="31"/>
      <c r="T6" s="26"/>
      <c r="U6" s="31"/>
      <c r="V6" s="26"/>
      <c r="W6" s="26"/>
      <c r="X6" s="26"/>
      <c r="Y6" s="26"/>
      <c r="Z6" s="26"/>
      <c r="AA6" s="31"/>
      <c r="AB6" s="31"/>
      <c r="AC6" s="32"/>
      <c r="AD6" s="32"/>
      <c r="AE6" s="33"/>
      <c r="AF6" s="33"/>
      <c r="AG6" s="33"/>
      <c r="AH6" s="33"/>
      <c r="AI6" s="33"/>
      <c r="AJ6" s="33"/>
      <c r="AK6" s="33"/>
      <c r="AL6" s="33"/>
      <c r="AM6" s="33"/>
      <c r="AN6" s="33"/>
      <c r="AO6" s="33"/>
      <c r="AP6" s="33"/>
      <c r="AQ6" s="33"/>
      <c r="AR6" s="33"/>
      <c r="AS6" s="33"/>
      <c r="AT6" s="33"/>
      <c r="AU6" s="33"/>
      <c r="AV6" s="33"/>
    </row>
    <row r="7" spans="1:63" s="36" customFormat="1" ht="20.25" customHeight="1" x14ac:dyDescent="0.3">
      <c r="A7" s="293" t="s">
        <v>8</v>
      </c>
      <c r="B7" s="24"/>
      <c r="C7" s="24"/>
      <c r="D7" s="24"/>
      <c r="E7" s="24"/>
      <c r="F7" s="24"/>
      <c r="G7" s="24"/>
      <c r="H7" s="24"/>
      <c r="I7" s="24"/>
      <c r="J7" s="24"/>
      <c r="K7" s="24"/>
      <c r="L7" s="24"/>
      <c r="M7" s="24"/>
      <c r="N7" s="24"/>
      <c r="O7" s="24"/>
      <c r="P7" s="24"/>
      <c r="Q7" s="24"/>
      <c r="R7" s="24"/>
      <c r="S7" s="25"/>
      <c r="T7" s="26"/>
      <c r="U7" s="25"/>
      <c r="V7" s="26"/>
      <c r="W7" s="26"/>
      <c r="X7" s="26"/>
      <c r="Y7" s="26"/>
      <c r="Z7" s="26"/>
      <c r="AA7" s="25"/>
      <c r="AB7" s="25"/>
      <c r="AC7" s="27"/>
      <c r="AD7" s="27"/>
      <c r="AE7" s="28"/>
      <c r="AF7" s="28"/>
      <c r="AG7" s="28"/>
      <c r="AH7" s="28"/>
      <c r="AI7" s="28"/>
      <c r="AJ7" s="28"/>
      <c r="AK7" s="28"/>
      <c r="AL7" s="28"/>
      <c r="AM7" s="28"/>
      <c r="AN7" s="28"/>
      <c r="AO7" s="28"/>
      <c r="AP7" s="28"/>
      <c r="AQ7" s="35"/>
      <c r="AR7" s="35"/>
      <c r="AS7" s="35"/>
      <c r="AT7" s="35"/>
      <c r="AU7" s="35"/>
      <c r="AV7" s="35"/>
    </row>
    <row r="8" spans="1:63" ht="19.5" thickBot="1" x14ac:dyDescent="0.35">
      <c r="A8" s="204"/>
      <c r="B8" s="204"/>
      <c r="C8" s="204"/>
      <c r="D8" s="204"/>
      <c r="E8" s="205"/>
      <c r="F8" s="204"/>
      <c r="G8" s="204"/>
      <c r="H8" s="204"/>
      <c r="I8" s="204"/>
      <c r="J8" s="204"/>
      <c r="K8" s="206"/>
      <c r="L8" s="206"/>
      <c r="M8" s="206"/>
      <c r="N8" s="206"/>
      <c r="O8" s="206"/>
      <c r="P8" s="206"/>
      <c r="Q8" s="206"/>
      <c r="R8" s="206"/>
      <c r="S8" s="206"/>
      <c r="T8" s="205"/>
      <c r="U8" s="206"/>
      <c r="V8" s="205"/>
      <c r="W8" s="205"/>
      <c r="X8" s="205"/>
      <c r="Y8" s="205"/>
      <c r="Z8" s="205"/>
      <c r="AA8" s="206"/>
      <c r="AB8" s="206"/>
      <c r="AC8" s="32"/>
      <c r="AD8" s="32"/>
      <c r="AE8" s="33"/>
      <c r="AF8" s="33"/>
      <c r="AG8" s="33"/>
      <c r="AH8" s="33"/>
      <c r="AI8" s="33"/>
      <c r="AJ8" s="33"/>
      <c r="AK8" s="33"/>
      <c r="AL8" s="33"/>
      <c r="AM8" s="33"/>
      <c r="AN8" s="33"/>
      <c r="AO8" s="33"/>
      <c r="AP8" s="33"/>
      <c r="AQ8" s="33"/>
      <c r="AR8" s="33"/>
      <c r="AS8" s="33"/>
      <c r="AT8" s="33"/>
      <c r="AU8" s="33"/>
      <c r="AV8" s="33"/>
    </row>
    <row r="9" spans="1:63" s="47" customFormat="1" ht="18.95" customHeight="1" x14ac:dyDescent="0.3">
      <c r="A9" s="255"/>
      <c r="B9" s="41"/>
      <c r="C9" s="40"/>
      <c r="D9" s="41"/>
      <c r="E9" s="40"/>
      <c r="F9" s="41"/>
      <c r="G9" s="40"/>
      <c r="H9" s="41"/>
      <c r="I9" s="40"/>
      <c r="J9" s="41"/>
      <c r="K9" s="40"/>
      <c r="L9" s="41"/>
      <c r="M9" s="40"/>
      <c r="N9" s="41"/>
      <c r="O9" s="40"/>
      <c r="P9" s="41"/>
      <c r="Q9" s="40"/>
      <c r="R9" s="42" t="s">
        <v>9</v>
      </c>
      <c r="S9" s="43" t="s">
        <v>10</v>
      </c>
      <c r="T9" s="44" t="s">
        <v>9</v>
      </c>
      <c r="U9" s="45" t="s">
        <v>11</v>
      </c>
      <c r="V9" s="44" t="s">
        <v>9</v>
      </c>
      <c r="W9" s="43" t="s">
        <v>12</v>
      </c>
      <c r="X9" s="42" t="s">
        <v>9</v>
      </c>
      <c r="Y9" s="45" t="s">
        <v>13</v>
      </c>
      <c r="Z9" s="46" t="s">
        <v>14</v>
      </c>
      <c r="AA9" s="46" t="s">
        <v>15</v>
      </c>
      <c r="AB9" s="46" t="s">
        <v>16</v>
      </c>
      <c r="AC9" s="28"/>
      <c r="AD9" s="28"/>
      <c r="AE9" s="28"/>
      <c r="AF9" s="28"/>
      <c r="AG9" s="28"/>
      <c r="AH9" s="28"/>
      <c r="AI9" s="28"/>
      <c r="AJ9" s="28"/>
      <c r="AK9" s="28"/>
      <c r="AL9" s="28"/>
      <c r="AM9" s="28"/>
      <c r="AN9" s="28"/>
      <c r="AO9" s="28"/>
      <c r="AP9" s="28"/>
      <c r="AQ9" s="28"/>
      <c r="AR9" s="28"/>
      <c r="AS9" s="28"/>
      <c r="AT9" s="28"/>
      <c r="AU9" s="28"/>
      <c r="AV9" s="28"/>
    </row>
    <row r="10" spans="1:63" s="47" customFormat="1" ht="18.95" customHeight="1" thickBot="1" x14ac:dyDescent="0.35">
      <c r="A10" s="256" t="s">
        <v>17</v>
      </c>
      <c r="B10" s="49" t="s">
        <v>9</v>
      </c>
      <c r="C10" s="48" t="s">
        <v>18</v>
      </c>
      <c r="D10" s="49" t="s">
        <v>9</v>
      </c>
      <c r="E10" s="48" t="s">
        <v>18</v>
      </c>
      <c r="F10" s="49" t="s">
        <v>9</v>
      </c>
      <c r="G10" s="48" t="s">
        <v>18</v>
      </c>
      <c r="H10" s="49" t="s">
        <v>9</v>
      </c>
      <c r="I10" s="48" t="s">
        <v>18</v>
      </c>
      <c r="J10" s="49" t="s">
        <v>9</v>
      </c>
      <c r="K10" s="48" t="s">
        <v>18</v>
      </c>
      <c r="L10" s="49" t="s">
        <v>9</v>
      </c>
      <c r="M10" s="48" t="s">
        <v>18</v>
      </c>
      <c r="N10" s="49" t="s">
        <v>9</v>
      </c>
      <c r="O10" s="48" t="s">
        <v>18</v>
      </c>
      <c r="P10" s="49" t="s">
        <v>9</v>
      </c>
      <c r="Q10" s="48" t="s">
        <v>18</v>
      </c>
      <c r="R10" s="50" t="s">
        <v>19</v>
      </c>
      <c r="S10" s="51" t="s">
        <v>18</v>
      </c>
      <c r="T10" s="52" t="s">
        <v>19</v>
      </c>
      <c r="U10" s="53" t="s">
        <v>18</v>
      </c>
      <c r="V10" s="52" t="s">
        <v>19</v>
      </c>
      <c r="W10" s="51" t="s">
        <v>18</v>
      </c>
      <c r="X10" s="50" t="s">
        <v>19</v>
      </c>
      <c r="Y10" s="53" t="s">
        <v>20</v>
      </c>
      <c r="Z10" s="54" t="s">
        <v>9</v>
      </c>
      <c r="AA10" s="54" t="s">
        <v>21</v>
      </c>
      <c r="AB10" s="54" t="s">
        <v>9</v>
      </c>
      <c r="AC10" s="55"/>
      <c r="AD10" s="55"/>
      <c r="AE10" s="55"/>
      <c r="AF10" s="55"/>
      <c r="AG10" s="55"/>
      <c r="AH10" s="55"/>
      <c r="AI10" s="55"/>
      <c r="AJ10" s="55"/>
      <c r="AK10" s="55"/>
      <c r="AL10" s="55"/>
      <c r="AM10" s="55"/>
      <c r="AN10" s="55"/>
      <c r="AO10" s="55"/>
      <c r="AP10" s="55"/>
      <c r="AQ10" s="55"/>
      <c r="AR10" s="55"/>
      <c r="AS10" s="55"/>
      <c r="AT10" s="55"/>
      <c r="AU10" s="55"/>
      <c r="AV10" s="55"/>
      <c r="AW10" s="56"/>
      <c r="AX10" s="56"/>
      <c r="AY10" s="56"/>
      <c r="AZ10" s="56"/>
      <c r="BA10" s="56"/>
      <c r="BB10" s="56"/>
      <c r="BC10" s="56"/>
      <c r="BD10" s="56"/>
      <c r="BE10" s="56"/>
      <c r="BF10" s="56"/>
      <c r="BG10" s="56"/>
      <c r="BH10" s="56"/>
      <c r="BI10" s="56"/>
      <c r="BJ10" s="56"/>
      <c r="BK10" s="56"/>
    </row>
    <row r="11" spans="1:63" ht="18" x14ac:dyDescent="0.25">
      <c r="A11" s="260"/>
      <c r="B11" s="58"/>
      <c r="C11" s="57"/>
      <c r="D11" s="58"/>
      <c r="E11" s="57"/>
      <c r="F11" s="58"/>
      <c r="G11" s="57"/>
      <c r="H11" s="58"/>
      <c r="I11" s="57"/>
      <c r="J11" s="58"/>
      <c r="K11" s="57"/>
      <c r="L11" s="58"/>
      <c r="M11" s="57"/>
      <c r="N11" s="58"/>
      <c r="O11" s="57"/>
      <c r="P11" s="58"/>
      <c r="Q11" s="57"/>
      <c r="R11" s="59"/>
      <c r="S11" s="60"/>
      <c r="T11" s="61"/>
      <c r="U11" s="62"/>
      <c r="V11" s="61"/>
      <c r="W11" s="60"/>
      <c r="X11" s="63"/>
      <c r="Y11" s="62"/>
      <c r="Z11" s="64"/>
      <c r="AA11" s="64"/>
      <c r="AB11" s="64"/>
      <c r="AC11" s="33"/>
      <c r="AD11" s="33"/>
      <c r="AE11" s="33"/>
      <c r="AF11" s="33"/>
      <c r="AG11" s="33"/>
      <c r="AH11" s="33"/>
      <c r="AI11" s="33"/>
      <c r="AJ11" s="33"/>
      <c r="AK11" s="33"/>
      <c r="AL11" s="33"/>
      <c r="AM11" s="33"/>
      <c r="AN11" s="33"/>
      <c r="AO11" s="33"/>
      <c r="AP11" s="33"/>
      <c r="AQ11" s="33"/>
      <c r="AR11" s="33"/>
      <c r="AS11" s="33"/>
      <c r="AT11" s="33"/>
      <c r="AU11" s="33"/>
      <c r="AV11" s="33"/>
    </row>
    <row r="12" spans="1:63" s="74" customFormat="1" ht="15.75" hidden="1" x14ac:dyDescent="0.25">
      <c r="A12" s="257" t="s">
        <v>98</v>
      </c>
      <c r="B12" s="66" t="s">
        <v>22</v>
      </c>
      <c r="C12" s="67">
        <f>20000000-80000</f>
        <v>19920000</v>
      </c>
      <c r="D12" s="66">
        <v>19500000</v>
      </c>
      <c r="E12" s="67">
        <f>C39</f>
        <v>19873017</v>
      </c>
      <c r="F12" s="66">
        <f>E39</f>
        <v>19806530.539999999</v>
      </c>
      <c r="G12" s="67">
        <v>19806530.539999999</v>
      </c>
      <c r="H12" s="66">
        <v>7405431</v>
      </c>
      <c r="I12" s="67">
        <f>G39</f>
        <v>12804124.219999999</v>
      </c>
      <c r="J12" s="66">
        <v>14588336</v>
      </c>
      <c r="K12" s="67">
        <f>I39</f>
        <v>15013307.02</v>
      </c>
      <c r="L12" s="68">
        <f>K39</f>
        <v>6877576.9399999976</v>
      </c>
      <c r="M12" s="69">
        <f>K39</f>
        <v>6877576.9399999976</v>
      </c>
      <c r="N12" s="66">
        <f>M39</f>
        <v>6960032.5999999978</v>
      </c>
      <c r="O12" s="67">
        <f>+M39</f>
        <v>6960032.5999999978</v>
      </c>
      <c r="P12" s="66" t="e">
        <f>O39</f>
        <v>#REF!</v>
      </c>
      <c r="Q12" s="67" t="e">
        <f>+O39</f>
        <v>#REF!</v>
      </c>
      <c r="R12" s="66" t="e">
        <f>Q39</f>
        <v>#REF!</v>
      </c>
      <c r="S12" s="70" t="e">
        <f>+Q39</f>
        <v>#REF!</v>
      </c>
      <c r="T12" s="71" t="e">
        <f>+S39</f>
        <v>#REF!</v>
      </c>
      <c r="U12" s="72" t="e">
        <f>+S39</f>
        <v>#REF!</v>
      </c>
      <c r="V12" s="71" t="e">
        <f>+U39</f>
        <v>#REF!</v>
      </c>
      <c r="W12" s="70" t="e">
        <f>+U39</f>
        <v>#REF!</v>
      </c>
      <c r="X12" s="73">
        <v>26036150</v>
      </c>
      <c r="Y12" s="72" t="e">
        <f>+W39</f>
        <v>#REF!</v>
      </c>
      <c r="Z12" s="237">
        <v>0</v>
      </c>
      <c r="AA12" s="236">
        <v>0</v>
      </c>
      <c r="AB12" s="237">
        <f>+Z12+AA12</f>
        <v>0</v>
      </c>
      <c r="AC12" s="33"/>
      <c r="AD12" s="33"/>
      <c r="AE12" s="33"/>
      <c r="AF12" s="33"/>
      <c r="AG12" s="33"/>
      <c r="AH12" s="33"/>
      <c r="AI12" s="33"/>
      <c r="AJ12" s="33"/>
      <c r="AK12" s="33"/>
      <c r="AL12" s="33"/>
      <c r="AM12" s="33"/>
      <c r="AN12" s="33"/>
      <c r="AO12" s="33"/>
      <c r="AP12" s="33"/>
      <c r="AQ12" s="33"/>
      <c r="AR12" s="33"/>
      <c r="AS12" s="33"/>
      <c r="AT12" s="33"/>
      <c r="AU12" s="33"/>
      <c r="AV12" s="33"/>
    </row>
    <row r="13" spans="1:63" s="74" customFormat="1" ht="15.75" x14ac:dyDescent="0.25">
      <c r="A13" s="257" t="s">
        <v>144</v>
      </c>
      <c r="B13" s="75" t="s">
        <v>22</v>
      </c>
      <c r="C13" s="65">
        <v>165375.34</v>
      </c>
      <c r="D13" s="75">
        <f>1000000+0.04</f>
        <v>1000000.04</v>
      </c>
      <c r="E13" s="65">
        <f>1157088.64+61050.49</f>
        <v>1218139.1299999999</v>
      </c>
      <c r="F13" s="75">
        <v>75500</v>
      </c>
      <c r="G13" s="65">
        <f>726102.21+204023.17</f>
        <v>930125.38</v>
      </c>
      <c r="H13" s="75">
        <v>900000</v>
      </c>
      <c r="I13" s="65">
        <f>236269.92+237856.34+41149.39+36171.85+31885.22+23714.42</f>
        <v>607047.14</v>
      </c>
      <c r="J13" s="75">
        <v>900000</v>
      </c>
      <c r="K13" s="65">
        <f>60155.32+16337.56+48719.72+401007.58+51855.01+12127.19+29250.04+19166.82+29964.68</f>
        <v>668583.92000000004</v>
      </c>
      <c r="L13" s="75">
        <v>299157.59999999998</v>
      </c>
      <c r="M13" s="65">
        <f>13962.47+106302.13+297853.05+2661.51+26166.4</f>
        <v>446945.56000000006</v>
      </c>
      <c r="N13" s="75">
        <f>R113*0.0567</f>
        <v>0</v>
      </c>
      <c r="O13" s="65">
        <f>334658.04+95650.66+15702.95</f>
        <v>446011.64999999997</v>
      </c>
      <c r="P13" s="76">
        <f>(+R113-1500000)*0.0542*365/365</f>
        <v>-81300</v>
      </c>
      <c r="Q13" s="65">
        <f>254514.48+17062.62+661.7</f>
        <v>272238.80000000005</v>
      </c>
      <c r="R13" s="75">
        <f>10349521.92*0.0185</f>
        <v>191466.15552</v>
      </c>
      <c r="S13" s="77">
        <f>22918.8+150855.34+595.04</f>
        <v>174369.18</v>
      </c>
      <c r="T13" s="78">
        <v>120292</v>
      </c>
      <c r="U13" s="79">
        <f>332270.5+1478.13+150403.78</f>
        <v>484152.41000000003</v>
      </c>
      <c r="V13" s="78">
        <v>217189.31</v>
      </c>
      <c r="W13" s="77">
        <f>646672.45+41998.12+225134.73+2184.94</f>
        <v>915990.23999999987</v>
      </c>
      <c r="X13" s="80">
        <v>1353479</v>
      </c>
      <c r="Y13" s="81">
        <f>619722.05+185511.34+(209583.04-185511.34)</f>
        <v>829305.09000000008</v>
      </c>
      <c r="Z13" s="237">
        <v>475000</v>
      </c>
      <c r="AA13" s="236">
        <v>0</v>
      </c>
      <c r="AB13" s="237">
        <f>+Z13+AA13</f>
        <v>475000</v>
      </c>
      <c r="AC13" s="33"/>
      <c r="AD13" s="33"/>
      <c r="AE13" s="33"/>
      <c r="AF13" s="33"/>
      <c r="AG13" s="33"/>
      <c r="AH13" s="33"/>
      <c r="AI13" s="33"/>
      <c r="AJ13" s="33"/>
      <c r="AK13" s="33"/>
      <c r="AL13" s="33"/>
      <c r="AM13" s="33"/>
      <c r="AN13" s="33"/>
      <c r="AO13" s="33"/>
      <c r="AP13" s="33"/>
      <c r="AQ13" s="33"/>
      <c r="AR13" s="33"/>
      <c r="AS13" s="33"/>
      <c r="AT13" s="33"/>
      <c r="AU13" s="33"/>
      <c r="AV13" s="33"/>
    </row>
    <row r="14" spans="1:63" s="74" customFormat="1" ht="15.75" x14ac:dyDescent="0.25">
      <c r="A14" s="257" t="s">
        <v>145</v>
      </c>
      <c r="B14" s="75"/>
      <c r="C14" s="65"/>
      <c r="D14" s="75"/>
      <c r="E14" s="65">
        <v>930054</v>
      </c>
      <c r="F14" s="75"/>
      <c r="G14" s="65">
        <v>69946</v>
      </c>
      <c r="H14" s="75">
        <v>1200000</v>
      </c>
      <c r="I14" s="65">
        <v>0</v>
      </c>
      <c r="J14" s="75">
        <v>1200000</v>
      </c>
      <c r="K14" s="65">
        <v>1200000</v>
      </c>
      <c r="L14" s="75"/>
      <c r="M14" s="65"/>
      <c r="N14" s="75"/>
      <c r="O14" s="65"/>
      <c r="P14" s="75"/>
      <c r="Q14" s="65"/>
      <c r="R14" s="75"/>
      <c r="S14" s="77"/>
      <c r="T14" s="78"/>
      <c r="U14" s="79"/>
      <c r="V14" s="78"/>
      <c r="W14" s="77"/>
      <c r="X14" s="80">
        <v>236553</v>
      </c>
      <c r="Y14" s="79">
        <v>204348</v>
      </c>
      <c r="Z14" s="132">
        <v>3803</v>
      </c>
      <c r="AA14" s="132">
        <v>0</v>
      </c>
      <c r="AB14" s="132">
        <f t="shared" ref="AB14:AB24" si="0">+Z14+AA14</f>
        <v>3803</v>
      </c>
      <c r="AC14" s="33"/>
      <c r="AD14" s="33"/>
      <c r="AE14" s="33"/>
      <c r="AF14" s="33"/>
      <c r="AG14" s="33"/>
      <c r="AH14" s="33"/>
      <c r="AI14" s="33"/>
      <c r="AJ14" s="33"/>
      <c r="AK14" s="33"/>
      <c r="AL14" s="33"/>
      <c r="AM14" s="33"/>
      <c r="AN14" s="33"/>
      <c r="AO14" s="33"/>
      <c r="AP14" s="33"/>
      <c r="AQ14" s="33"/>
      <c r="AR14" s="33"/>
      <c r="AS14" s="33"/>
      <c r="AT14" s="33"/>
      <c r="AU14" s="33"/>
      <c r="AV14" s="33"/>
    </row>
    <row r="15" spans="1:63" s="74" customFormat="1" ht="15.75" x14ac:dyDescent="0.25">
      <c r="A15" s="257" t="s">
        <v>146</v>
      </c>
      <c r="B15" s="257" t="s">
        <v>113</v>
      </c>
      <c r="C15" s="257" t="s">
        <v>114</v>
      </c>
      <c r="D15" s="257" t="s">
        <v>115</v>
      </c>
      <c r="E15" s="257" t="s">
        <v>116</v>
      </c>
      <c r="F15" s="257" t="s">
        <v>117</v>
      </c>
      <c r="G15" s="257" t="s">
        <v>118</v>
      </c>
      <c r="H15" s="257" t="s">
        <v>119</v>
      </c>
      <c r="I15" s="257" t="s">
        <v>120</v>
      </c>
      <c r="J15" s="257" t="s">
        <v>121</v>
      </c>
      <c r="K15" s="257" t="s">
        <v>122</v>
      </c>
      <c r="L15" s="257" t="s">
        <v>123</v>
      </c>
      <c r="M15" s="257" t="s">
        <v>124</v>
      </c>
      <c r="N15" s="257" t="s">
        <v>125</v>
      </c>
      <c r="O15" s="257" t="s">
        <v>126</v>
      </c>
      <c r="P15" s="257" t="s">
        <v>127</v>
      </c>
      <c r="Q15" s="257" t="s">
        <v>128</v>
      </c>
      <c r="R15" s="257" t="s">
        <v>129</v>
      </c>
      <c r="S15" s="257" t="s">
        <v>130</v>
      </c>
      <c r="T15" s="257" t="s">
        <v>131</v>
      </c>
      <c r="U15" s="257" t="s">
        <v>132</v>
      </c>
      <c r="V15" s="257" t="s">
        <v>133</v>
      </c>
      <c r="W15" s="257" t="s">
        <v>134</v>
      </c>
      <c r="X15" s="257" t="s">
        <v>135</v>
      </c>
      <c r="Y15" s="257" t="s">
        <v>136</v>
      </c>
      <c r="Z15" s="132">
        <v>800000</v>
      </c>
      <c r="AA15" s="132">
        <v>0</v>
      </c>
      <c r="AB15" s="132">
        <f t="shared" si="0"/>
        <v>800000</v>
      </c>
      <c r="AC15" s="33"/>
      <c r="AD15" s="33"/>
      <c r="AE15" s="33"/>
      <c r="AF15" s="33"/>
      <c r="AG15" s="33"/>
      <c r="AH15" s="33"/>
      <c r="AI15" s="33"/>
      <c r="AJ15" s="33"/>
      <c r="AK15" s="33"/>
      <c r="AL15" s="33"/>
      <c r="AM15" s="33"/>
      <c r="AN15" s="33"/>
      <c r="AO15" s="33"/>
      <c r="AP15" s="33"/>
      <c r="AQ15" s="33"/>
      <c r="AR15" s="33"/>
      <c r="AS15" s="33"/>
      <c r="AT15" s="33"/>
      <c r="AU15" s="33"/>
      <c r="AV15" s="33"/>
    </row>
    <row r="16" spans="1:63" s="74" customFormat="1" ht="15.75" x14ac:dyDescent="0.25">
      <c r="A16" s="257" t="s">
        <v>147</v>
      </c>
      <c r="B16" s="75"/>
      <c r="C16" s="65"/>
      <c r="D16" s="75"/>
      <c r="E16" s="65"/>
      <c r="F16" s="75"/>
      <c r="G16" s="65"/>
      <c r="H16" s="75"/>
      <c r="I16" s="65"/>
      <c r="J16" s="75"/>
      <c r="K16" s="65"/>
      <c r="L16" s="75"/>
      <c r="M16" s="65"/>
      <c r="N16" s="75"/>
      <c r="O16" s="65"/>
      <c r="P16" s="75"/>
      <c r="Q16" s="65"/>
      <c r="R16" s="75"/>
      <c r="S16" s="77"/>
      <c r="T16" s="78"/>
      <c r="U16" s="79"/>
      <c r="V16" s="78"/>
      <c r="W16" s="77"/>
      <c r="X16" s="80"/>
      <c r="Y16" s="79"/>
      <c r="Z16" s="132">
        <v>143000</v>
      </c>
      <c r="AA16" s="132">
        <v>0</v>
      </c>
      <c r="AB16" s="132">
        <f t="shared" si="0"/>
        <v>143000</v>
      </c>
      <c r="AC16" s="33"/>
      <c r="AD16" s="33"/>
      <c r="AE16" s="33"/>
      <c r="AF16" s="33"/>
      <c r="AG16" s="33"/>
      <c r="AH16" s="33"/>
      <c r="AI16" s="33"/>
      <c r="AJ16" s="33"/>
      <c r="AK16" s="33"/>
      <c r="AL16" s="33"/>
      <c r="AM16" s="33"/>
      <c r="AN16" s="33"/>
      <c r="AO16" s="33"/>
      <c r="AP16" s="33"/>
      <c r="AQ16" s="33"/>
      <c r="AR16" s="33"/>
      <c r="AS16" s="33"/>
      <c r="AT16" s="33"/>
      <c r="AU16" s="33"/>
      <c r="AV16" s="33"/>
    </row>
    <row r="17" spans="1:63" s="74" customFormat="1" ht="15.75" x14ac:dyDescent="0.25">
      <c r="A17" s="257" t="s">
        <v>148</v>
      </c>
      <c r="B17" s="75"/>
      <c r="C17" s="65"/>
      <c r="D17" s="75"/>
      <c r="E17" s="65"/>
      <c r="F17" s="75"/>
      <c r="G17" s="65"/>
      <c r="H17" s="75"/>
      <c r="I17" s="65"/>
      <c r="J17" s="75"/>
      <c r="K17" s="65"/>
      <c r="L17" s="75"/>
      <c r="M17" s="65"/>
      <c r="N17" s="75"/>
      <c r="O17" s="65"/>
      <c r="P17" s="75"/>
      <c r="Q17" s="65"/>
      <c r="R17" s="75"/>
      <c r="S17" s="77"/>
      <c r="T17" s="78"/>
      <c r="U17" s="79"/>
      <c r="V17" s="78"/>
      <c r="W17" s="77"/>
      <c r="X17" s="80">
        <v>10000</v>
      </c>
      <c r="Y17" s="79">
        <f>+X17</f>
        <v>10000</v>
      </c>
      <c r="Z17" s="132">
        <v>80000</v>
      </c>
      <c r="AA17" s="132">
        <v>0</v>
      </c>
      <c r="AB17" s="132">
        <f t="shared" si="0"/>
        <v>80000</v>
      </c>
      <c r="AC17" s="33"/>
      <c r="AD17" s="33"/>
      <c r="AE17" s="33"/>
      <c r="AF17" s="33"/>
      <c r="AG17" s="33"/>
      <c r="AH17" s="33"/>
      <c r="AI17" s="33"/>
      <c r="AJ17" s="33"/>
      <c r="AK17" s="33"/>
      <c r="AL17" s="33"/>
      <c r="AM17" s="33"/>
      <c r="AN17" s="33"/>
      <c r="AO17" s="33"/>
      <c r="AP17" s="33"/>
      <c r="AQ17" s="33"/>
      <c r="AR17" s="33"/>
      <c r="AS17" s="33"/>
      <c r="AT17" s="33"/>
      <c r="AU17" s="33"/>
      <c r="AV17" s="33"/>
    </row>
    <row r="18" spans="1:63" s="74" customFormat="1" ht="15.75" x14ac:dyDescent="0.25">
      <c r="A18" s="257" t="s">
        <v>149</v>
      </c>
      <c r="B18" s="75"/>
      <c r="C18" s="65"/>
      <c r="D18" s="75">
        <v>2500000</v>
      </c>
      <c r="E18" s="65">
        <v>2500000</v>
      </c>
      <c r="F18" s="75">
        <v>2500000</v>
      </c>
      <c r="G18" s="65">
        <v>2500000</v>
      </c>
      <c r="H18" s="75">
        <v>2500000</v>
      </c>
      <c r="I18" s="65">
        <v>2500000</v>
      </c>
      <c r="J18" s="75">
        <v>2500000</v>
      </c>
      <c r="K18" s="65">
        <v>2500000</v>
      </c>
      <c r="L18" s="75">
        <v>2500000</v>
      </c>
      <c r="M18" s="65">
        <v>2500000</v>
      </c>
      <c r="N18" s="75">
        <v>2500000</v>
      </c>
      <c r="O18" s="65">
        <v>2500000</v>
      </c>
      <c r="P18" s="75">
        <v>5000000</v>
      </c>
      <c r="Q18" s="82">
        <v>5000000</v>
      </c>
      <c r="R18" s="75">
        <v>5000000</v>
      </c>
      <c r="S18" s="77">
        <v>5000000</v>
      </c>
      <c r="T18" s="78">
        <v>2500000</v>
      </c>
      <c r="U18" s="79">
        <v>2500000</v>
      </c>
      <c r="V18" s="78">
        <v>2500000</v>
      </c>
      <c r="W18" s="77">
        <v>2500000</v>
      </c>
      <c r="X18" s="80">
        <v>2500000</v>
      </c>
      <c r="Y18" s="79">
        <v>2500000</v>
      </c>
      <c r="Z18" s="132">
        <v>135000</v>
      </c>
      <c r="AA18" s="132">
        <v>0</v>
      </c>
      <c r="AB18" s="132">
        <f t="shared" si="0"/>
        <v>135000</v>
      </c>
      <c r="AC18" s="33"/>
      <c r="AD18" s="33"/>
      <c r="AE18" s="33"/>
      <c r="AF18" s="33"/>
      <c r="AG18" s="33"/>
      <c r="AH18" s="33"/>
      <c r="AI18" s="33"/>
      <c r="AJ18" s="33"/>
      <c r="AK18" s="33"/>
      <c r="AL18" s="33"/>
      <c r="AM18" s="33"/>
      <c r="AN18" s="33"/>
      <c r="AO18" s="33"/>
      <c r="AP18" s="33"/>
      <c r="AQ18" s="33"/>
      <c r="AR18" s="33"/>
      <c r="AS18" s="33"/>
      <c r="AT18" s="33"/>
      <c r="AU18" s="33"/>
      <c r="AV18" s="33"/>
    </row>
    <row r="19" spans="1:63" s="74" customFormat="1" ht="15.75" x14ac:dyDescent="0.25">
      <c r="A19" s="257" t="s">
        <v>150</v>
      </c>
      <c r="B19" s="75"/>
      <c r="C19" s="65"/>
      <c r="D19" s="75"/>
      <c r="E19" s="65"/>
      <c r="F19" s="75"/>
      <c r="G19" s="65"/>
      <c r="H19" s="75"/>
      <c r="I19" s="65"/>
      <c r="J19" s="75"/>
      <c r="K19" s="65"/>
      <c r="L19" s="75"/>
      <c r="M19" s="65"/>
      <c r="N19" s="75"/>
      <c r="O19" s="65"/>
      <c r="P19" s="75"/>
      <c r="Q19" s="82"/>
      <c r="R19" s="75">
        <v>1000000</v>
      </c>
      <c r="S19" s="77">
        <v>1000000</v>
      </c>
      <c r="T19" s="78">
        <v>5000000</v>
      </c>
      <c r="U19" s="79">
        <v>5000000</v>
      </c>
      <c r="V19" s="78">
        <v>8750000</v>
      </c>
      <c r="W19" s="77">
        <v>8750000</v>
      </c>
      <c r="X19" s="80">
        <v>5000000</v>
      </c>
      <c r="Y19" s="79">
        <v>5000000</v>
      </c>
      <c r="Z19" s="132">
        <v>290000</v>
      </c>
      <c r="AA19" s="132">
        <v>0</v>
      </c>
      <c r="AB19" s="132">
        <f t="shared" si="0"/>
        <v>290000</v>
      </c>
      <c r="AC19" s="33"/>
      <c r="AD19" s="33"/>
      <c r="AE19" s="33"/>
      <c r="AF19" s="33"/>
      <c r="AG19" s="33"/>
      <c r="AH19" s="33"/>
      <c r="AI19" s="33"/>
      <c r="AJ19" s="33"/>
      <c r="AK19" s="33"/>
      <c r="AL19" s="33"/>
      <c r="AM19" s="33"/>
      <c r="AN19" s="33"/>
      <c r="AO19" s="33"/>
      <c r="AP19" s="33"/>
      <c r="AQ19" s="33"/>
      <c r="AR19" s="33"/>
      <c r="AS19" s="33"/>
      <c r="AT19" s="33"/>
      <c r="AU19" s="33"/>
      <c r="AV19" s="33"/>
    </row>
    <row r="20" spans="1:63" s="74" customFormat="1" ht="15.75" x14ac:dyDescent="0.25">
      <c r="A20" s="257" t="s">
        <v>151</v>
      </c>
      <c r="B20" s="75"/>
      <c r="C20" s="65"/>
      <c r="D20" s="75"/>
      <c r="E20" s="65"/>
      <c r="F20" s="75"/>
      <c r="G20" s="65"/>
      <c r="H20" s="75"/>
      <c r="I20" s="65"/>
      <c r="J20" s="75"/>
      <c r="K20" s="65"/>
      <c r="L20" s="75"/>
      <c r="M20" s="65"/>
      <c r="N20" s="75"/>
      <c r="O20" s="65"/>
      <c r="P20" s="75"/>
      <c r="Q20" s="82"/>
      <c r="R20" s="75">
        <v>1024460</v>
      </c>
      <c r="S20" s="77">
        <v>1024460</v>
      </c>
      <c r="T20" s="78">
        <v>936400</v>
      </c>
      <c r="U20" s="79">
        <v>936400</v>
      </c>
      <c r="V20" s="78"/>
      <c r="W20" s="77"/>
      <c r="X20" s="80"/>
      <c r="Y20" s="79"/>
      <c r="Z20" s="132">
        <v>74475</v>
      </c>
      <c r="AA20" s="132">
        <v>0</v>
      </c>
      <c r="AB20" s="132">
        <f t="shared" si="0"/>
        <v>74475</v>
      </c>
      <c r="AC20" s="33"/>
      <c r="AD20" s="83"/>
      <c r="AE20" s="84"/>
      <c r="AF20" s="84"/>
      <c r="AG20" s="84"/>
      <c r="AH20" s="84"/>
      <c r="AI20" s="85"/>
      <c r="AJ20" s="84"/>
      <c r="AK20" s="33"/>
      <c r="AL20" s="33"/>
      <c r="AM20" s="33"/>
      <c r="AN20" s="33"/>
      <c r="AO20" s="33"/>
      <c r="AP20" s="33"/>
      <c r="AQ20" s="33"/>
      <c r="AR20" s="33"/>
      <c r="AS20" s="33"/>
      <c r="AT20" s="33"/>
      <c r="AU20" s="33"/>
      <c r="AV20" s="33"/>
    </row>
    <row r="21" spans="1:63" s="74" customFormat="1" ht="15.75" x14ac:dyDescent="0.25">
      <c r="A21" s="257" t="s">
        <v>152</v>
      </c>
      <c r="B21" s="75"/>
      <c r="C21" s="65"/>
      <c r="D21" s="75"/>
      <c r="E21" s="65"/>
      <c r="F21" s="75"/>
      <c r="G21" s="65"/>
      <c r="H21" s="75">
        <v>4200000</v>
      </c>
      <c r="I21" s="65">
        <v>5020000</v>
      </c>
      <c r="J21" s="75" t="s">
        <v>22</v>
      </c>
      <c r="K21" s="65"/>
      <c r="L21" s="75"/>
      <c r="M21" s="65">
        <v>3244</v>
      </c>
      <c r="N21" s="75"/>
      <c r="O21" s="65"/>
      <c r="P21" s="75"/>
      <c r="Q21" s="82"/>
      <c r="R21" s="75"/>
      <c r="S21" s="77"/>
      <c r="T21" s="78"/>
      <c r="U21" s="79"/>
      <c r="V21" s="78"/>
      <c r="W21" s="77"/>
      <c r="X21" s="80"/>
      <c r="Y21" s="79"/>
      <c r="Z21" s="132">
        <v>9000</v>
      </c>
      <c r="AA21" s="132">
        <v>0</v>
      </c>
      <c r="AB21" s="132">
        <f t="shared" si="0"/>
        <v>9000</v>
      </c>
      <c r="AC21" s="33"/>
      <c r="AD21" s="83"/>
      <c r="AE21" s="86"/>
      <c r="AF21" s="84"/>
      <c r="AG21" s="84"/>
      <c r="AH21" s="84"/>
      <c r="AI21" s="85"/>
      <c r="AJ21" s="84"/>
      <c r="AK21" s="33"/>
      <c r="AL21" s="33"/>
      <c r="AM21" s="33"/>
      <c r="AN21" s="33"/>
      <c r="AO21" s="33"/>
      <c r="AP21" s="33"/>
      <c r="AQ21" s="33"/>
      <c r="AR21" s="33"/>
      <c r="AS21" s="33"/>
      <c r="AT21" s="33"/>
      <c r="AU21" s="33"/>
      <c r="AV21" s="33"/>
    </row>
    <row r="22" spans="1:63" s="74" customFormat="1" ht="15.75" x14ac:dyDescent="0.25">
      <c r="A22" s="257" t="s">
        <v>153</v>
      </c>
      <c r="B22" s="75"/>
      <c r="C22" s="65"/>
      <c r="D22" s="75"/>
      <c r="E22" s="65"/>
      <c r="F22" s="75"/>
      <c r="G22" s="65"/>
      <c r="H22" s="75"/>
      <c r="I22" s="65"/>
      <c r="J22" s="75"/>
      <c r="K22" s="65"/>
      <c r="L22" s="75"/>
      <c r="M22" s="65"/>
      <c r="N22" s="75"/>
      <c r="O22" s="65"/>
      <c r="P22" s="75"/>
      <c r="Q22" s="82"/>
      <c r="R22" s="75"/>
      <c r="S22" s="77"/>
      <c r="T22" s="78"/>
      <c r="U22" s="79"/>
      <c r="V22" s="78"/>
      <c r="W22" s="77"/>
      <c r="X22" s="80"/>
      <c r="Y22" s="79"/>
      <c r="Z22" s="132">
        <v>5400</v>
      </c>
      <c r="AA22" s="132">
        <v>0</v>
      </c>
      <c r="AB22" s="132">
        <f t="shared" si="0"/>
        <v>5400</v>
      </c>
      <c r="AC22" s="33"/>
      <c r="AD22" s="83"/>
      <c r="AE22" s="86"/>
      <c r="AF22" s="84"/>
      <c r="AG22" s="84"/>
      <c r="AH22" s="84"/>
      <c r="AI22" s="85"/>
      <c r="AJ22" s="84"/>
      <c r="AK22" s="33"/>
      <c r="AL22" s="33"/>
      <c r="AM22" s="33"/>
      <c r="AN22" s="33"/>
      <c r="AO22" s="33"/>
      <c r="AP22" s="33"/>
      <c r="AQ22" s="33"/>
      <c r="AR22" s="33"/>
      <c r="AS22" s="33"/>
      <c r="AT22" s="33"/>
      <c r="AU22" s="33"/>
      <c r="AV22" s="33"/>
    </row>
    <row r="23" spans="1:63" s="74" customFormat="1" ht="15.75" x14ac:dyDescent="0.25">
      <c r="A23" s="257" t="s">
        <v>154</v>
      </c>
      <c r="B23" s="75"/>
      <c r="C23" s="65"/>
      <c r="D23" s="75"/>
      <c r="E23" s="65"/>
      <c r="F23" s="75"/>
      <c r="G23" s="65"/>
      <c r="H23" s="75"/>
      <c r="I23" s="65"/>
      <c r="J23" s="75"/>
      <c r="K23" s="65"/>
      <c r="L23" s="75"/>
      <c r="M23" s="65"/>
      <c r="N23" s="75"/>
      <c r="O23" s="65"/>
      <c r="P23" s="75"/>
      <c r="Q23" s="82"/>
      <c r="R23" s="75"/>
      <c r="S23" s="77"/>
      <c r="T23" s="78"/>
      <c r="U23" s="79"/>
      <c r="V23" s="78"/>
      <c r="W23" s="77"/>
      <c r="X23" s="80"/>
      <c r="Y23" s="79"/>
      <c r="Z23" s="132">
        <v>72170</v>
      </c>
      <c r="AA23" s="132">
        <v>0</v>
      </c>
      <c r="AB23" s="132">
        <f t="shared" si="0"/>
        <v>72170</v>
      </c>
      <c r="AC23" s="33"/>
      <c r="AD23" s="83"/>
      <c r="AE23" s="86"/>
      <c r="AF23" s="84"/>
      <c r="AG23" s="84"/>
      <c r="AH23" s="84"/>
      <c r="AI23" s="85"/>
      <c r="AJ23" s="84"/>
      <c r="AK23" s="33"/>
      <c r="AL23" s="33"/>
      <c r="AM23" s="33"/>
      <c r="AN23" s="33"/>
      <c r="AO23" s="33"/>
      <c r="AP23" s="33"/>
      <c r="AQ23" s="33"/>
      <c r="AR23" s="33"/>
      <c r="AS23" s="33"/>
      <c r="AT23" s="33"/>
      <c r="AU23" s="33"/>
      <c r="AV23" s="33"/>
    </row>
    <row r="24" spans="1:63" s="74" customFormat="1" ht="15.75" x14ac:dyDescent="0.25">
      <c r="A24" s="257" t="s">
        <v>155</v>
      </c>
      <c r="B24" s="75"/>
      <c r="C24" s="65"/>
      <c r="D24" s="75"/>
      <c r="E24" s="65"/>
      <c r="F24" s="75"/>
      <c r="G24" s="65"/>
      <c r="H24" s="75"/>
      <c r="I24" s="65"/>
      <c r="J24" s="75"/>
      <c r="K24" s="65"/>
      <c r="L24" s="75"/>
      <c r="M24" s="65"/>
      <c r="N24" s="75"/>
      <c r="O24" s="65"/>
      <c r="P24" s="75"/>
      <c r="Q24" s="82"/>
      <c r="R24" s="75"/>
      <c r="S24" s="77"/>
      <c r="T24" s="78"/>
      <c r="U24" s="79"/>
      <c r="V24" s="78"/>
      <c r="W24" s="77"/>
      <c r="X24" s="80"/>
      <c r="Y24" s="79"/>
      <c r="Z24" s="132">
        <v>0</v>
      </c>
      <c r="AA24" s="132">
        <v>853873</v>
      </c>
      <c r="AB24" s="132">
        <f t="shared" si="0"/>
        <v>853873</v>
      </c>
      <c r="AC24" s="33"/>
      <c r="AD24" s="83"/>
      <c r="AE24" s="86"/>
      <c r="AF24" s="84"/>
      <c r="AG24" s="84"/>
      <c r="AH24" s="84"/>
      <c r="AI24" s="85"/>
      <c r="AJ24" s="84"/>
      <c r="AK24" s="33"/>
      <c r="AL24" s="33"/>
      <c r="AM24" s="33"/>
      <c r="AN24" s="33"/>
      <c r="AO24" s="33"/>
      <c r="AP24" s="33"/>
      <c r="AQ24" s="33"/>
      <c r="AR24" s="33"/>
      <c r="AS24" s="33"/>
      <c r="AT24" s="33"/>
      <c r="AU24" s="33"/>
      <c r="AV24" s="33"/>
    </row>
    <row r="25" spans="1:63" ht="19.5" thickBot="1" x14ac:dyDescent="0.35">
      <c r="A25" s="258"/>
      <c r="B25" s="88"/>
      <c r="C25" s="26"/>
      <c r="D25" s="88"/>
      <c r="E25" s="26"/>
      <c r="F25" s="88"/>
      <c r="G25" s="26"/>
      <c r="H25" s="88"/>
      <c r="I25" s="26"/>
      <c r="J25" s="88"/>
      <c r="K25" s="26"/>
      <c r="L25" s="88"/>
      <c r="M25" s="26"/>
      <c r="N25" s="88"/>
      <c r="O25" s="26"/>
      <c r="P25" s="88"/>
      <c r="Q25" s="89"/>
      <c r="R25" s="90"/>
      <c r="S25" s="91"/>
      <c r="T25" s="92"/>
      <c r="U25" s="93"/>
      <c r="V25" s="92"/>
      <c r="W25" s="94"/>
      <c r="X25" s="92"/>
      <c r="Y25" s="93"/>
      <c r="Z25" s="95"/>
      <c r="AA25" s="95"/>
      <c r="AB25" s="95"/>
      <c r="AC25" s="33"/>
      <c r="AD25" s="33"/>
      <c r="AE25" s="84"/>
      <c r="AF25" s="84"/>
      <c r="AG25" s="96"/>
      <c r="AH25" s="97"/>
      <c r="AI25" s="98"/>
      <c r="AJ25" s="84"/>
      <c r="AK25" s="33"/>
      <c r="AL25" s="33"/>
      <c r="AM25" s="33"/>
      <c r="AN25" s="33"/>
      <c r="AO25" s="33"/>
      <c r="AP25" s="33"/>
      <c r="AQ25" s="33"/>
      <c r="AR25" s="33"/>
      <c r="AS25" s="33"/>
      <c r="AT25" s="33"/>
      <c r="AU25" s="33"/>
      <c r="AV25" s="33"/>
    </row>
    <row r="26" spans="1:63" s="47" customFormat="1" ht="19.5" customHeight="1" thickBot="1" x14ac:dyDescent="0.35">
      <c r="A26" s="261" t="s">
        <v>23</v>
      </c>
      <c r="B26" s="99">
        <f>SUM(B12:B13)</f>
        <v>0</v>
      </c>
      <c r="C26" s="100">
        <f>C13+C12</f>
        <v>20085375.34</v>
      </c>
      <c r="D26" s="99">
        <f>SUM(D12:D13)</f>
        <v>20500000.039999999</v>
      </c>
      <c r="E26" s="100">
        <f>SUM(E12:E25)</f>
        <v>24521210.129999999</v>
      </c>
      <c r="F26" s="99">
        <f>SUM(F12:F13)</f>
        <v>19882030.539999999</v>
      </c>
      <c r="G26" s="100">
        <f>G18+G14+G13+G12</f>
        <v>23306601.919999998</v>
      </c>
      <c r="H26" s="101">
        <f t="shared" ref="H26:N26" si="1">SUM(H12:H25)</f>
        <v>16205431</v>
      </c>
      <c r="I26" s="102">
        <f t="shared" si="1"/>
        <v>20931171.359999999</v>
      </c>
      <c r="J26" s="101">
        <f t="shared" si="1"/>
        <v>19188336</v>
      </c>
      <c r="K26" s="102">
        <f t="shared" si="1"/>
        <v>19381890.939999998</v>
      </c>
      <c r="L26" s="103">
        <f t="shared" si="1"/>
        <v>9676734.5399999972</v>
      </c>
      <c r="M26" s="104">
        <f t="shared" si="1"/>
        <v>9827766.4999999981</v>
      </c>
      <c r="N26" s="101">
        <f t="shared" si="1"/>
        <v>9460032.5999999978</v>
      </c>
      <c r="O26" s="102" t="e">
        <f>+#REF!+#REF!+O18+O13+O12</f>
        <v>#REF!</v>
      </c>
      <c r="P26" s="101" t="e">
        <f>SUM(P12:P25)</f>
        <v>#REF!</v>
      </c>
      <c r="Q26" s="102" t="e">
        <f>SUM(Q12:Q25)+1</f>
        <v>#REF!</v>
      </c>
      <c r="R26" s="101" t="e">
        <f>SUM(R12:R25)</f>
        <v>#REF!</v>
      </c>
      <c r="S26" s="105" t="e">
        <f>SUM(S12:S25)</f>
        <v>#REF!</v>
      </c>
      <c r="T26" s="102" t="e">
        <f>SUM(T12:T25)</f>
        <v>#REF!</v>
      </c>
      <c r="U26" s="102" t="e">
        <f>SUM(U12:U25)</f>
        <v>#REF!</v>
      </c>
      <c r="V26" s="102" t="e">
        <f>SUM(V12:V25)-1</f>
        <v>#REF!</v>
      </c>
      <c r="W26" s="106" t="e">
        <f>SUM(W11:W25)</f>
        <v>#REF!</v>
      </c>
      <c r="X26" s="101">
        <f>SUM(X11:X25)</f>
        <v>35136182</v>
      </c>
      <c r="Y26" s="102" t="e">
        <f>SUM(Y12:Y25)</f>
        <v>#REF!</v>
      </c>
      <c r="Z26" s="238">
        <f>SUM(Z12:Z25)</f>
        <v>2087848</v>
      </c>
      <c r="AA26" s="238">
        <f>SUM(AA12:AA25)</f>
        <v>853873</v>
      </c>
      <c r="AB26" s="238">
        <f>SUM(AB12:AB25)</f>
        <v>2941721</v>
      </c>
      <c r="AC26" s="28"/>
      <c r="AD26" s="28"/>
      <c r="AE26" s="107"/>
      <c r="AF26" s="107"/>
      <c r="AG26" s="108"/>
      <c r="AH26" s="107"/>
      <c r="AI26" s="109"/>
      <c r="AJ26" s="107"/>
      <c r="AK26" s="28"/>
      <c r="AL26" s="28"/>
      <c r="AM26" s="28"/>
      <c r="AN26" s="28"/>
      <c r="AO26" s="28"/>
      <c r="AP26" s="28"/>
      <c r="AQ26" s="28"/>
      <c r="AR26" s="28"/>
      <c r="AS26" s="28"/>
      <c r="AT26" s="28"/>
      <c r="AU26" s="28"/>
      <c r="AV26" s="28"/>
    </row>
    <row r="27" spans="1:63" ht="18" x14ac:dyDescent="0.25">
      <c r="A27" s="57"/>
      <c r="B27" s="57"/>
      <c r="C27" s="57"/>
      <c r="D27" s="57"/>
      <c r="E27" s="57"/>
      <c r="F27" s="57"/>
      <c r="G27" s="57"/>
      <c r="H27" s="57"/>
      <c r="I27" s="57"/>
      <c r="J27" s="57"/>
      <c r="K27" s="57"/>
      <c r="L27" s="57"/>
      <c r="M27" s="57"/>
      <c r="N27" s="57"/>
      <c r="O27" s="57"/>
      <c r="P27" s="57"/>
      <c r="Q27" s="57"/>
      <c r="R27" s="110"/>
      <c r="S27" s="33"/>
      <c r="T27" s="61"/>
      <c r="U27" s="62"/>
      <c r="V27" s="61"/>
      <c r="W27" s="33"/>
      <c r="X27" s="63"/>
      <c r="Y27" s="33"/>
      <c r="Z27" s="111"/>
      <c r="AA27" s="111"/>
      <c r="AB27" s="266"/>
      <c r="AC27" s="33"/>
      <c r="AD27" s="84"/>
      <c r="AE27" s="84"/>
      <c r="AF27" s="84"/>
      <c r="AG27" s="96"/>
      <c r="AH27" s="84"/>
      <c r="AI27" s="85"/>
      <c r="AJ27" s="84"/>
      <c r="AK27" s="33"/>
      <c r="AL27" s="33"/>
      <c r="AM27" s="33"/>
      <c r="AN27" s="33"/>
      <c r="AO27" s="33"/>
      <c r="AP27" s="33"/>
      <c r="AQ27" s="33"/>
      <c r="AR27" s="33"/>
      <c r="AS27" s="33"/>
      <c r="AT27" s="33"/>
      <c r="AU27" s="33"/>
      <c r="AV27" s="33"/>
    </row>
    <row r="28" spans="1:63" ht="18" x14ac:dyDescent="0.25">
      <c r="A28" s="110"/>
      <c r="B28" s="110"/>
      <c r="C28" s="110"/>
      <c r="D28" s="110"/>
      <c r="E28" s="110"/>
      <c r="F28" s="110"/>
      <c r="G28" s="110"/>
      <c r="H28" s="110"/>
      <c r="I28" s="110"/>
      <c r="J28" s="110"/>
      <c r="K28" s="110"/>
      <c r="L28" s="110"/>
      <c r="M28" s="110"/>
      <c r="N28" s="110"/>
      <c r="O28" s="110"/>
      <c r="P28" s="110"/>
      <c r="Q28" s="110"/>
      <c r="R28" s="110"/>
      <c r="S28" s="33"/>
      <c r="T28" s="61"/>
      <c r="U28" s="62"/>
      <c r="V28" s="61"/>
      <c r="W28" s="33"/>
      <c r="X28" s="63"/>
      <c r="Y28" s="33"/>
      <c r="Z28" s="61"/>
      <c r="AA28" s="61"/>
      <c r="AB28" s="61"/>
      <c r="AC28" s="33"/>
      <c r="AD28" s="84"/>
      <c r="AE28" s="84"/>
      <c r="AF28" s="84"/>
      <c r="AG28" s="96"/>
      <c r="AH28" s="84"/>
      <c r="AI28" s="85"/>
      <c r="AJ28" s="84"/>
      <c r="AK28" s="33"/>
      <c r="AL28" s="33"/>
      <c r="AM28" s="33"/>
      <c r="AN28" s="33"/>
      <c r="AO28" s="33"/>
      <c r="AP28" s="33"/>
      <c r="AQ28" s="33"/>
      <c r="AR28" s="33"/>
      <c r="AS28" s="33"/>
      <c r="AT28" s="33"/>
      <c r="AU28" s="33"/>
      <c r="AV28" s="33"/>
    </row>
    <row r="29" spans="1:63" s="36" customFormat="1" ht="20.25" x14ac:dyDescent="0.3">
      <c r="A29" s="293" t="s">
        <v>99</v>
      </c>
      <c r="B29" s="24"/>
      <c r="C29" s="24"/>
      <c r="D29" s="24"/>
      <c r="E29" s="24"/>
      <c r="F29" s="24"/>
      <c r="G29" s="24"/>
      <c r="H29" s="24"/>
      <c r="I29" s="24"/>
      <c r="J29" s="24"/>
      <c r="K29" s="24"/>
      <c r="L29" s="24"/>
      <c r="M29" s="24"/>
      <c r="N29" s="24"/>
      <c r="O29" s="24"/>
      <c r="P29" s="24"/>
      <c r="Q29" s="24"/>
      <c r="R29" s="24"/>
      <c r="S29" s="25"/>
      <c r="T29" s="112"/>
      <c r="U29" s="113"/>
      <c r="V29" s="112"/>
      <c r="W29" s="25"/>
      <c r="X29" s="26"/>
      <c r="Y29" s="25"/>
      <c r="Z29" s="112"/>
      <c r="AA29" s="112"/>
      <c r="AB29" s="112"/>
      <c r="AC29" s="35"/>
      <c r="AD29" s="114"/>
      <c r="AE29" s="114"/>
      <c r="AF29" s="114"/>
      <c r="AG29" s="114"/>
      <c r="AH29" s="114"/>
      <c r="AI29" s="115"/>
      <c r="AJ29" s="114"/>
      <c r="AK29" s="35"/>
      <c r="AL29" s="35"/>
      <c r="AM29" s="35"/>
      <c r="AN29" s="35"/>
      <c r="AO29" s="35"/>
      <c r="AP29" s="35"/>
      <c r="AQ29" s="35"/>
      <c r="AR29" s="35"/>
      <c r="AS29" s="35"/>
      <c r="AT29" s="35"/>
      <c r="AU29" s="35"/>
      <c r="AV29" s="35"/>
    </row>
    <row r="30" spans="1:63" ht="19.5" thickBot="1" x14ac:dyDescent="0.35">
      <c r="A30" s="37"/>
      <c r="B30" s="65"/>
      <c r="C30" s="65"/>
      <c r="D30" s="65"/>
      <c r="E30" s="26"/>
      <c r="F30" s="65"/>
      <c r="G30" s="65"/>
      <c r="H30" s="65"/>
      <c r="I30" s="65"/>
      <c r="J30" s="65"/>
      <c r="K30" s="65"/>
      <c r="L30" s="65"/>
      <c r="M30" s="65"/>
      <c r="N30" s="65"/>
      <c r="O30" s="65"/>
      <c r="P30" s="65"/>
      <c r="Q30" s="65"/>
      <c r="R30" s="65"/>
      <c r="S30" s="39"/>
      <c r="T30" s="38"/>
      <c r="U30" s="39"/>
      <c r="V30" s="38"/>
      <c r="W30" s="39"/>
      <c r="X30" s="38"/>
      <c r="Y30" s="39"/>
      <c r="Z30" s="38"/>
      <c r="AA30" s="38"/>
      <c r="AB30" s="205"/>
      <c r="AC30" s="33"/>
      <c r="AD30" s="84"/>
      <c r="AE30" s="84"/>
      <c r="AF30" s="84"/>
      <c r="AG30" s="96"/>
      <c r="AH30" s="84"/>
      <c r="AI30" s="85"/>
      <c r="AJ30" s="33"/>
      <c r="AK30" s="33"/>
      <c r="AL30" s="33"/>
      <c r="AM30" s="33"/>
      <c r="AN30" s="33"/>
      <c r="AO30" s="33"/>
      <c r="AP30" s="33"/>
      <c r="AQ30" s="33"/>
      <c r="AR30" s="33"/>
      <c r="AS30" s="33"/>
      <c r="AT30" s="33"/>
      <c r="AU30" s="33"/>
      <c r="AV30" s="33"/>
    </row>
    <row r="31" spans="1:63" s="47" customFormat="1" ht="18.95" customHeight="1" x14ac:dyDescent="0.3">
      <c r="A31" s="255"/>
      <c r="B31" s="40"/>
      <c r="C31" s="40"/>
      <c r="D31" s="41"/>
      <c r="E31" s="40"/>
      <c r="F31" s="41"/>
      <c r="G31" s="40"/>
      <c r="H31" s="41"/>
      <c r="I31" s="40"/>
      <c r="J31" s="41"/>
      <c r="K31" s="40"/>
      <c r="L31" s="41"/>
      <c r="M31" s="40"/>
      <c r="N31" s="41"/>
      <c r="O31" s="40"/>
      <c r="P31" s="41"/>
      <c r="Q31" s="40"/>
      <c r="R31" s="42" t="s">
        <v>9</v>
      </c>
      <c r="S31" s="43" t="s">
        <v>10</v>
      </c>
      <c r="T31" s="44" t="s">
        <v>9</v>
      </c>
      <c r="U31" s="45" t="s">
        <v>11</v>
      </c>
      <c r="V31" s="44" t="s">
        <v>9</v>
      </c>
      <c r="W31" s="43" t="s">
        <v>12</v>
      </c>
      <c r="X31" s="42" t="s">
        <v>9</v>
      </c>
      <c r="Y31" s="45" t="s">
        <v>13</v>
      </c>
      <c r="Z31" s="46" t="s">
        <v>14</v>
      </c>
      <c r="AA31" s="46" t="s">
        <v>15</v>
      </c>
      <c r="AB31" s="46" t="s">
        <v>16</v>
      </c>
      <c r="AC31" s="28"/>
      <c r="AD31" s="28"/>
      <c r="AE31" s="28"/>
      <c r="AF31" s="28"/>
      <c r="AG31" s="28"/>
      <c r="AH31" s="28"/>
      <c r="AI31" s="28"/>
      <c r="AJ31" s="28"/>
      <c r="AK31" s="28"/>
      <c r="AL31" s="28"/>
      <c r="AM31" s="28"/>
      <c r="AN31" s="28"/>
      <c r="AO31" s="28"/>
      <c r="AP31" s="28"/>
      <c r="AQ31" s="28"/>
      <c r="AR31" s="28"/>
      <c r="AS31" s="28"/>
      <c r="AT31" s="28"/>
      <c r="AU31" s="28"/>
      <c r="AV31" s="28"/>
    </row>
    <row r="32" spans="1:63" s="47" customFormat="1" ht="18.95" customHeight="1" thickBot="1" x14ac:dyDescent="0.35">
      <c r="A32" s="256" t="s">
        <v>24</v>
      </c>
      <c r="B32" s="232" t="s">
        <v>9</v>
      </c>
      <c r="C32" s="48" t="s">
        <v>18</v>
      </c>
      <c r="D32" s="49" t="s">
        <v>9</v>
      </c>
      <c r="E32" s="48" t="s">
        <v>18</v>
      </c>
      <c r="F32" s="49" t="s">
        <v>9</v>
      </c>
      <c r="G32" s="48" t="s">
        <v>18</v>
      </c>
      <c r="H32" s="49" t="s">
        <v>9</v>
      </c>
      <c r="I32" s="48" t="s">
        <v>18</v>
      </c>
      <c r="J32" s="49" t="s">
        <v>9</v>
      </c>
      <c r="K32" s="48" t="s">
        <v>18</v>
      </c>
      <c r="L32" s="49" t="s">
        <v>9</v>
      </c>
      <c r="M32" s="48" t="s">
        <v>18</v>
      </c>
      <c r="N32" s="49" t="s">
        <v>9</v>
      </c>
      <c r="O32" s="48" t="s">
        <v>18</v>
      </c>
      <c r="P32" s="49" t="s">
        <v>9</v>
      </c>
      <c r="Q32" s="48" t="s">
        <v>18</v>
      </c>
      <c r="R32" s="50" t="s">
        <v>19</v>
      </c>
      <c r="S32" s="51" t="s">
        <v>18</v>
      </c>
      <c r="T32" s="52" t="s">
        <v>19</v>
      </c>
      <c r="U32" s="53" t="s">
        <v>18</v>
      </c>
      <c r="V32" s="52" t="s">
        <v>19</v>
      </c>
      <c r="W32" s="51" t="s">
        <v>18</v>
      </c>
      <c r="X32" s="50" t="s">
        <v>19</v>
      </c>
      <c r="Y32" s="53" t="s">
        <v>20</v>
      </c>
      <c r="Z32" s="54" t="s">
        <v>9</v>
      </c>
      <c r="AA32" s="54" t="s">
        <v>21</v>
      </c>
      <c r="AB32" s="54" t="s">
        <v>9</v>
      </c>
      <c r="AC32" s="55"/>
      <c r="AD32" s="55"/>
      <c r="AE32" s="55"/>
      <c r="AF32" s="55"/>
      <c r="AG32" s="55"/>
      <c r="AH32" s="55"/>
      <c r="AI32" s="55"/>
      <c r="AJ32" s="55"/>
      <c r="AK32" s="55"/>
      <c r="AL32" s="55"/>
      <c r="AM32" s="55"/>
      <c r="AN32" s="55"/>
      <c r="AO32" s="55"/>
      <c r="AP32" s="55"/>
      <c r="AQ32" s="55"/>
      <c r="AR32" s="55"/>
      <c r="AS32" s="55"/>
      <c r="AT32" s="55"/>
      <c r="AU32" s="55"/>
      <c r="AV32" s="55"/>
      <c r="AW32" s="56"/>
      <c r="AX32" s="56"/>
      <c r="AY32" s="56"/>
      <c r="AZ32" s="56"/>
      <c r="BA32" s="56"/>
      <c r="BB32" s="56"/>
      <c r="BC32" s="56"/>
      <c r="BD32" s="56"/>
      <c r="BE32" s="56"/>
      <c r="BF32" s="56"/>
      <c r="BG32" s="56"/>
      <c r="BH32" s="56"/>
      <c r="BI32" s="56"/>
      <c r="BJ32" s="56"/>
      <c r="BK32" s="56"/>
    </row>
    <row r="33" spans="1:63" ht="18.75" x14ac:dyDescent="0.3">
      <c r="A33" s="264"/>
      <c r="B33" s="262"/>
      <c r="C33" s="116"/>
      <c r="D33" s="117"/>
      <c r="E33" s="116"/>
      <c r="F33" s="117"/>
      <c r="G33" s="116"/>
      <c r="H33" s="117"/>
      <c r="I33" s="116"/>
      <c r="J33" s="117"/>
      <c r="K33" s="116"/>
      <c r="L33" s="117"/>
      <c r="M33" s="116"/>
      <c r="N33" s="117"/>
      <c r="O33" s="116"/>
      <c r="P33" s="117"/>
      <c r="Q33" s="116"/>
      <c r="R33" s="117"/>
      <c r="S33" s="118"/>
      <c r="T33" s="112"/>
      <c r="U33" s="119"/>
      <c r="V33" s="112"/>
      <c r="W33" s="118"/>
      <c r="X33" s="26"/>
      <c r="Y33" s="119"/>
      <c r="Z33" s="120"/>
      <c r="AA33" s="120"/>
      <c r="AB33" s="120"/>
      <c r="AC33" s="33"/>
      <c r="AD33" s="84"/>
      <c r="AE33" s="84"/>
      <c r="AF33" s="84"/>
      <c r="AG33" s="84"/>
      <c r="AH33" s="84"/>
      <c r="AI33" s="33"/>
      <c r="AJ33" s="33"/>
      <c r="AK33" s="33"/>
      <c r="AL33" s="33"/>
      <c r="AM33" s="33"/>
      <c r="AN33" s="33"/>
      <c r="AO33" s="33"/>
      <c r="AP33" s="33"/>
      <c r="AQ33" s="33"/>
      <c r="AR33" s="33"/>
      <c r="AS33" s="33"/>
      <c r="AT33" s="33"/>
      <c r="AU33" s="33"/>
      <c r="AV33" s="33"/>
    </row>
    <row r="34" spans="1:63" s="74" customFormat="1" ht="15.75" x14ac:dyDescent="0.25">
      <c r="A34" s="257" t="s">
        <v>90</v>
      </c>
      <c r="B34" s="72" t="s">
        <v>22</v>
      </c>
      <c r="C34" s="67">
        <v>212358.34</v>
      </c>
      <c r="D34" s="66">
        <v>9427000</v>
      </c>
      <c r="E34" s="67">
        <v>4714679.59</v>
      </c>
      <c r="F34" s="66">
        <v>13551000</v>
      </c>
      <c r="G34" s="67">
        <v>10502477.699999999</v>
      </c>
      <c r="H34" s="66">
        <v>10312802</v>
      </c>
      <c r="I34" s="67">
        <f>7978052.77-2060188.43-198035.7+198035.7</f>
        <v>5917864.3399999999</v>
      </c>
      <c r="J34" s="66">
        <v>13817964.67</v>
      </c>
      <c r="K34" s="67">
        <v>12504314</v>
      </c>
      <c r="L34" s="68">
        <v>9357442</v>
      </c>
      <c r="M34" s="69">
        <f>2907095.24+1113+2228.87-9950-35997.67+3244.46</f>
        <v>2867733.9000000004</v>
      </c>
      <c r="N34" s="66">
        <v>10200911.35</v>
      </c>
      <c r="O34" s="67">
        <f>3058.44+1052325.78+314341.12+537609.88+11643+417763.5+412122.66+556.5+3896.82</f>
        <v>2753317.6999999997</v>
      </c>
      <c r="P34" s="66">
        <v>1891155.55</v>
      </c>
      <c r="Q34" s="67">
        <f>-858.34+388568.51+110910.34+74000+42458.47+1966501.5+42013.42+556.5</f>
        <v>2624150.4</v>
      </c>
      <c r="R34" s="66">
        <v>6206571.6399999997</v>
      </c>
      <c r="S34" s="70">
        <f>1893.96+298814.13+401826.75+4305+9070+423481.91+10818.76+556.5</f>
        <v>1150767.01</v>
      </c>
      <c r="T34" s="71">
        <v>7905942.7000000002</v>
      </c>
      <c r="U34" s="121">
        <f>3388475.94-262-262-46683.75-1902.75</f>
        <v>3339365.44</v>
      </c>
      <c r="V34" s="122">
        <v>16995296</v>
      </c>
      <c r="W34" s="123">
        <f>11215692.04+556.5-W36-3072.99-20000-100000-158544-61934.46-279164.53</f>
        <v>9432156.2199999988</v>
      </c>
      <c r="X34" s="124">
        <v>12229170</v>
      </c>
      <c r="Y34" s="121">
        <f>11424387.8+2905397.57-5521606-11424387.8+11971584.13</f>
        <v>9355375.7000000011</v>
      </c>
      <c r="Z34" s="237">
        <v>581598</v>
      </c>
      <c r="AA34" s="237">
        <v>513027</v>
      </c>
      <c r="AB34" s="237">
        <f t="shared" ref="AB34:AB38" si="2">+Z34+AA34</f>
        <v>1094625</v>
      </c>
      <c r="AC34" s="125"/>
      <c r="AD34" s="84"/>
      <c r="AE34" s="84"/>
      <c r="AF34" s="84"/>
      <c r="AG34" s="84"/>
      <c r="AH34" s="84"/>
      <c r="AI34" s="33"/>
      <c r="AJ34" s="33"/>
      <c r="AK34" s="33"/>
      <c r="AL34" s="33"/>
      <c r="AM34" s="33"/>
      <c r="AN34" s="33"/>
      <c r="AO34" s="33"/>
      <c r="AP34" s="33"/>
      <c r="AQ34" s="33"/>
      <c r="AR34" s="33"/>
      <c r="AS34" s="33"/>
      <c r="AT34" s="33"/>
      <c r="AU34" s="33"/>
      <c r="AV34" s="33"/>
    </row>
    <row r="35" spans="1:63" s="74" customFormat="1" ht="15.75" x14ac:dyDescent="0.25">
      <c r="A35" s="257" t="s">
        <v>89</v>
      </c>
      <c r="B35" s="72"/>
      <c r="C35" s="67"/>
      <c r="D35" s="66"/>
      <c r="E35" s="67"/>
      <c r="F35" s="66"/>
      <c r="G35" s="67"/>
      <c r="H35" s="66"/>
      <c r="I35" s="67"/>
      <c r="J35" s="66"/>
      <c r="K35" s="67"/>
      <c r="L35" s="68"/>
      <c r="M35" s="69"/>
      <c r="N35" s="66"/>
      <c r="O35" s="67"/>
      <c r="P35" s="66"/>
      <c r="Q35" s="67"/>
      <c r="R35" s="66"/>
      <c r="S35" s="70"/>
      <c r="T35" s="71"/>
      <c r="U35" s="121"/>
      <c r="V35" s="122"/>
      <c r="W35" s="123"/>
      <c r="X35" s="126">
        <v>-5477772</v>
      </c>
      <c r="Y35" s="127">
        <f>+X35</f>
        <v>-5477772</v>
      </c>
      <c r="Z35" s="235">
        <v>140803</v>
      </c>
      <c r="AA35" s="235">
        <v>153908</v>
      </c>
      <c r="AB35" s="235">
        <f t="shared" si="2"/>
        <v>294711</v>
      </c>
      <c r="AC35" s="125"/>
      <c r="AD35" s="84"/>
      <c r="AE35" s="84"/>
      <c r="AF35" s="84"/>
      <c r="AG35" s="84"/>
      <c r="AH35" s="84"/>
      <c r="AI35" s="33"/>
      <c r="AJ35" s="33"/>
      <c r="AK35" s="33"/>
      <c r="AL35" s="33"/>
      <c r="AM35" s="33"/>
      <c r="AN35" s="33"/>
      <c r="AO35" s="33"/>
      <c r="AP35" s="33"/>
      <c r="AQ35" s="33"/>
      <c r="AR35" s="33"/>
      <c r="AS35" s="33"/>
      <c r="AT35" s="33"/>
      <c r="AU35" s="33"/>
      <c r="AV35" s="33"/>
    </row>
    <row r="36" spans="1:63" s="74" customFormat="1" ht="15.75" x14ac:dyDescent="0.25">
      <c r="A36" s="265" t="s">
        <v>25</v>
      </c>
      <c r="B36" s="81"/>
      <c r="C36" s="239"/>
      <c r="D36" s="240"/>
      <c r="E36" s="239"/>
      <c r="F36" s="240"/>
      <c r="G36" s="239"/>
      <c r="H36" s="240"/>
      <c r="I36" s="239"/>
      <c r="J36" s="240"/>
      <c r="K36" s="239"/>
      <c r="L36" s="241"/>
      <c r="M36" s="242"/>
      <c r="N36" s="240"/>
      <c r="O36" s="239"/>
      <c r="P36" s="240"/>
      <c r="Q36" s="243"/>
      <c r="R36" s="240"/>
      <c r="S36" s="87"/>
      <c r="T36" s="244"/>
      <c r="U36" s="245">
        <f>48000+15047.5+29759-48000-15047.5-29759</f>
        <v>0</v>
      </c>
      <c r="V36" s="244">
        <v>1068570</v>
      </c>
      <c r="W36" s="87">
        <f>1068569.84+48000+15047.5+29759</f>
        <v>1161376.3400000001</v>
      </c>
      <c r="X36" s="246"/>
      <c r="Y36" s="247"/>
      <c r="Z36" s="235">
        <v>1347755</v>
      </c>
      <c r="AA36" s="235">
        <v>159171</v>
      </c>
      <c r="AB36" s="235">
        <f t="shared" si="2"/>
        <v>1506926</v>
      </c>
      <c r="AC36" s="248"/>
      <c r="AD36" s="248"/>
      <c r="AE36" s="249"/>
      <c r="AF36" s="249"/>
      <c r="AG36" s="249"/>
      <c r="AH36" s="249"/>
      <c r="AI36" s="250"/>
      <c r="AJ36" s="249"/>
      <c r="AK36" s="248"/>
      <c r="AL36" s="248"/>
      <c r="AM36" s="248"/>
      <c r="AN36" s="248"/>
      <c r="AO36" s="248"/>
      <c r="AP36" s="248"/>
      <c r="AQ36" s="248"/>
      <c r="AR36" s="248"/>
      <c r="AS36" s="248"/>
      <c r="AT36" s="248"/>
      <c r="AU36" s="248"/>
      <c r="AV36" s="248"/>
      <c r="AW36" s="251"/>
      <c r="AX36" s="251"/>
      <c r="AY36" s="251"/>
      <c r="AZ36" s="251"/>
      <c r="BA36" s="251"/>
      <c r="BB36" s="251"/>
      <c r="BC36" s="251"/>
      <c r="BD36" s="251"/>
      <c r="BE36" s="251"/>
      <c r="BF36" s="251"/>
      <c r="BG36" s="251"/>
      <c r="BH36" s="251"/>
      <c r="BI36" s="251"/>
      <c r="BJ36" s="251"/>
      <c r="BK36" s="251"/>
    </row>
    <row r="37" spans="1:63" s="74" customFormat="1" ht="15.75" x14ac:dyDescent="0.25">
      <c r="A37" s="265" t="s">
        <v>26</v>
      </c>
      <c r="B37" s="81"/>
      <c r="C37" s="239"/>
      <c r="D37" s="240"/>
      <c r="E37" s="239"/>
      <c r="F37" s="240"/>
      <c r="G37" s="239"/>
      <c r="H37" s="240"/>
      <c r="I37" s="239"/>
      <c r="J37" s="240"/>
      <c r="K37" s="239"/>
      <c r="L37" s="241"/>
      <c r="M37" s="242"/>
      <c r="N37" s="240"/>
      <c r="O37" s="239"/>
      <c r="P37" s="240"/>
      <c r="Q37" s="81"/>
      <c r="R37" s="240"/>
      <c r="S37" s="87"/>
      <c r="T37" s="244"/>
      <c r="U37" s="245"/>
      <c r="V37" s="244"/>
      <c r="W37" s="87">
        <v>279164.53000000003</v>
      </c>
      <c r="X37" s="246">
        <v>-1161376</v>
      </c>
      <c r="Y37" s="247">
        <f>+X37</f>
        <v>-1161376</v>
      </c>
      <c r="Z37" s="235">
        <v>9192</v>
      </c>
      <c r="AA37" s="235">
        <v>27767</v>
      </c>
      <c r="AB37" s="235">
        <f t="shared" si="2"/>
        <v>36959</v>
      </c>
      <c r="AC37" s="248"/>
      <c r="AD37" s="248"/>
      <c r="AE37" s="249"/>
      <c r="AF37" s="249"/>
      <c r="AG37" s="249"/>
      <c r="AH37" s="249"/>
      <c r="AI37" s="250"/>
      <c r="AJ37" s="249"/>
      <c r="AK37" s="248"/>
      <c r="AL37" s="248"/>
      <c r="AM37" s="248"/>
      <c r="AN37" s="248"/>
      <c r="AO37" s="248"/>
      <c r="AP37" s="248"/>
      <c r="AQ37" s="248"/>
      <c r="AR37" s="248"/>
      <c r="AS37" s="248"/>
      <c r="AT37" s="248"/>
      <c r="AU37" s="248"/>
      <c r="AV37" s="248"/>
      <c r="AW37" s="251"/>
      <c r="AX37" s="251"/>
      <c r="AY37" s="251"/>
      <c r="AZ37" s="251"/>
      <c r="BA37" s="251"/>
      <c r="BB37" s="251"/>
      <c r="BC37" s="251"/>
      <c r="BD37" s="251"/>
      <c r="BE37" s="251"/>
      <c r="BF37" s="251"/>
      <c r="BG37" s="251"/>
      <c r="BH37" s="251"/>
      <c r="BI37" s="251"/>
      <c r="BJ37" s="251"/>
      <c r="BK37" s="251"/>
    </row>
    <row r="38" spans="1:63" s="74" customFormat="1" ht="15.75" x14ac:dyDescent="0.25">
      <c r="A38" s="257" t="s">
        <v>27</v>
      </c>
      <c r="B38" s="81"/>
      <c r="C38" s="239"/>
      <c r="D38" s="240"/>
      <c r="E38" s="239"/>
      <c r="F38" s="240"/>
      <c r="G38" s="239"/>
      <c r="H38" s="240"/>
      <c r="I38" s="239"/>
      <c r="J38" s="81"/>
      <c r="K38" s="239"/>
      <c r="L38" s="241"/>
      <c r="M38" s="242"/>
      <c r="N38" s="240"/>
      <c r="O38" s="239"/>
      <c r="P38" s="240"/>
      <c r="Q38" s="81"/>
      <c r="R38" s="240"/>
      <c r="S38" s="87"/>
      <c r="T38" s="244"/>
      <c r="U38" s="245"/>
      <c r="V38" s="244"/>
      <c r="W38" s="87"/>
      <c r="X38" s="246"/>
      <c r="Y38" s="247"/>
      <c r="Z38" s="132">
        <v>0</v>
      </c>
      <c r="AA38" s="132">
        <v>0</v>
      </c>
      <c r="AB38" s="132">
        <f t="shared" si="2"/>
        <v>0</v>
      </c>
      <c r="AC38" s="248"/>
      <c r="AD38" s="248"/>
      <c r="AE38" s="249"/>
      <c r="AF38" s="249"/>
      <c r="AG38" s="249"/>
      <c r="AH38" s="249"/>
      <c r="AI38" s="250"/>
      <c r="AJ38" s="249"/>
      <c r="AK38" s="248"/>
      <c r="AL38" s="248"/>
      <c r="AM38" s="248"/>
      <c r="AN38" s="248"/>
      <c r="AO38" s="248"/>
      <c r="AP38" s="248"/>
      <c r="AQ38" s="248"/>
      <c r="AR38" s="248"/>
      <c r="AS38" s="248"/>
      <c r="AT38" s="248"/>
      <c r="AU38" s="248"/>
      <c r="AV38" s="248"/>
      <c r="AW38" s="251"/>
      <c r="AX38" s="251"/>
      <c r="AY38" s="251"/>
      <c r="AZ38" s="251"/>
      <c r="BA38" s="251"/>
      <c r="BB38" s="251"/>
      <c r="BC38" s="251"/>
      <c r="BD38" s="251"/>
      <c r="BE38" s="251"/>
      <c r="BF38" s="251"/>
      <c r="BG38" s="251"/>
      <c r="BH38" s="251"/>
      <c r="BI38" s="251"/>
      <c r="BJ38" s="251"/>
      <c r="BK38" s="251"/>
    </row>
    <row r="39" spans="1:63" s="74" customFormat="1" ht="15.75" x14ac:dyDescent="0.25">
      <c r="A39" s="257" t="s">
        <v>156</v>
      </c>
      <c r="B39" s="72" t="s">
        <v>22</v>
      </c>
      <c r="C39" s="65">
        <f>C26-C34</f>
        <v>19873017</v>
      </c>
      <c r="D39" s="75">
        <f>4000000+7073000</f>
        <v>11073000</v>
      </c>
      <c r="E39" s="65">
        <f t="shared" ref="E39:R39" si="3">E26-E34</f>
        <v>19806530.539999999</v>
      </c>
      <c r="F39" s="75">
        <f t="shared" si="3"/>
        <v>6331030.5399999991</v>
      </c>
      <c r="G39" s="65">
        <f t="shared" si="3"/>
        <v>12804124.219999999</v>
      </c>
      <c r="H39" s="75">
        <f t="shared" si="3"/>
        <v>5892629</v>
      </c>
      <c r="I39" s="77">
        <f t="shared" si="3"/>
        <v>15013307.02</v>
      </c>
      <c r="J39" s="65">
        <f t="shared" si="3"/>
        <v>5370371.3300000001</v>
      </c>
      <c r="K39" s="65">
        <f t="shared" si="3"/>
        <v>6877576.9399999976</v>
      </c>
      <c r="L39" s="76">
        <f t="shared" si="3"/>
        <v>319292.53999999724</v>
      </c>
      <c r="M39" s="128">
        <f t="shared" si="3"/>
        <v>6960032.5999999978</v>
      </c>
      <c r="N39" s="75">
        <f t="shared" si="3"/>
        <v>-740878.75000000186</v>
      </c>
      <c r="O39" s="65" t="e">
        <f t="shared" si="3"/>
        <v>#REF!</v>
      </c>
      <c r="P39" s="75" t="e">
        <f t="shared" si="3"/>
        <v>#REF!</v>
      </c>
      <c r="Q39" s="65" t="e">
        <f t="shared" si="3"/>
        <v>#REF!</v>
      </c>
      <c r="R39" s="75" t="e">
        <f t="shared" si="3"/>
        <v>#REF!</v>
      </c>
      <c r="S39" s="77" t="e">
        <f>+S26-S34</f>
        <v>#REF!</v>
      </c>
      <c r="T39" s="78" t="e">
        <f>+T26-T34</f>
        <v>#REF!</v>
      </c>
      <c r="U39" s="79" t="e">
        <f>+U26-U34-U36</f>
        <v>#REF!</v>
      </c>
      <c r="V39" s="78" t="e">
        <f>+V26-V34-V36</f>
        <v>#REF!</v>
      </c>
      <c r="W39" s="129" t="e">
        <f>+W26-W34-W36-W35-W37</f>
        <v>#REF!</v>
      </c>
      <c r="X39" s="130">
        <f>+X26-X34-X36-X35-X37</f>
        <v>29546160</v>
      </c>
      <c r="Y39" s="131" t="e">
        <f>+Y26-Y34-Y36-Y35-Y37</f>
        <v>#REF!</v>
      </c>
      <c r="Z39" s="235">
        <v>8500</v>
      </c>
      <c r="AA39" s="132">
        <v>0</v>
      </c>
      <c r="AB39" s="132">
        <f>+Z39+AA39</f>
        <v>8500</v>
      </c>
      <c r="AC39" s="33"/>
      <c r="AD39" s="84"/>
      <c r="AE39" s="84"/>
      <c r="AF39" s="84"/>
      <c r="AG39" s="84"/>
      <c r="AH39" s="84"/>
      <c r="AI39" s="33"/>
      <c r="AJ39" s="33"/>
      <c r="AK39" s="33"/>
      <c r="AL39" s="33"/>
      <c r="AM39" s="33"/>
      <c r="AN39" s="33"/>
      <c r="AO39" s="33"/>
      <c r="AP39" s="33"/>
      <c r="AQ39" s="33"/>
      <c r="AR39" s="33"/>
      <c r="AS39" s="33"/>
      <c r="AT39" s="33"/>
      <c r="AU39" s="33"/>
      <c r="AV39" s="33"/>
    </row>
    <row r="40" spans="1:63" ht="19.5" thickBot="1" x14ac:dyDescent="0.35">
      <c r="A40" s="259"/>
      <c r="B40" s="112"/>
      <c r="C40" s="26"/>
      <c r="D40" s="88"/>
      <c r="E40" s="26"/>
      <c r="F40" s="88"/>
      <c r="G40" s="26"/>
      <c r="H40" s="88"/>
      <c r="I40" s="26"/>
      <c r="J40" s="88"/>
      <c r="K40" s="26"/>
      <c r="L40" s="207"/>
      <c r="M40" s="208"/>
      <c r="N40" s="88"/>
      <c r="O40" s="26"/>
      <c r="P40" s="88"/>
      <c r="Q40" s="26"/>
      <c r="R40" s="88"/>
      <c r="S40" s="209"/>
      <c r="T40" s="38"/>
      <c r="U40" s="252"/>
      <c r="V40" s="38"/>
      <c r="W40" s="209"/>
      <c r="X40" s="38"/>
      <c r="Y40" s="252"/>
      <c r="Z40" s="210"/>
      <c r="AA40" s="210"/>
      <c r="AB40" s="210"/>
      <c r="AC40" s="33"/>
      <c r="AD40" s="84"/>
      <c r="AE40" s="84"/>
      <c r="AF40" s="84"/>
      <c r="AG40" s="84"/>
      <c r="AH40" s="84"/>
      <c r="AI40" s="33"/>
      <c r="AJ40" s="33"/>
      <c r="AK40" s="33"/>
      <c r="AL40" s="33"/>
      <c r="AM40" s="33"/>
      <c r="AN40" s="33"/>
      <c r="AO40" s="33"/>
      <c r="AP40" s="33"/>
      <c r="AQ40" s="33"/>
      <c r="AR40" s="33"/>
      <c r="AS40" s="33"/>
      <c r="AT40" s="33"/>
      <c r="AU40" s="33"/>
      <c r="AV40" s="33"/>
    </row>
    <row r="41" spans="1:63" s="47" customFormat="1" ht="20.25" customHeight="1" thickBot="1" x14ac:dyDescent="0.35">
      <c r="A41" s="261" t="s">
        <v>28</v>
      </c>
      <c r="B41" s="263">
        <f>SUM(B34:B39)</f>
        <v>0</v>
      </c>
      <c r="C41" s="100">
        <f>C39+C34</f>
        <v>20085375.34</v>
      </c>
      <c r="D41" s="99">
        <f>SUM(D34:D39)</f>
        <v>20500000</v>
      </c>
      <c r="E41" s="100">
        <f>SUM(E34:E39)</f>
        <v>24521210.129999999</v>
      </c>
      <c r="F41" s="99">
        <f>SUM(F34:F39)</f>
        <v>19882030.539999999</v>
      </c>
      <c r="G41" s="100">
        <f>SUM(G34:G39)</f>
        <v>23306601.919999998</v>
      </c>
      <c r="H41" s="133">
        <f>H34+H39</f>
        <v>16205431</v>
      </c>
      <c r="I41" s="134">
        <f>I39+I34</f>
        <v>20931171.359999999</v>
      </c>
      <c r="J41" s="133">
        <f>J34+J39</f>
        <v>19188336</v>
      </c>
      <c r="K41" s="134">
        <f>K39+K34</f>
        <v>19381890.939999998</v>
      </c>
      <c r="L41" s="135">
        <f>L34+L39</f>
        <v>9676734.5399999972</v>
      </c>
      <c r="M41" s="136">
        <f>M39+M34</f>
        <v>9827766.4999999981</v>
      </c>
      <c r="N41" s="133">
        <f>N34+N39</f>
        <v>9460032.5999999978</v>
      </c>
      <c r="O41" s="134" t="e">
        <f>+O34+O39</f>
        <v>#REF!</v>
      </c>
      <c r="P41" s="133" t="e">
        <f>P34+P39</f>
        <v>#REF!</v>
      </c>
      <c r="Q41" s="134" t="e">
        <f>Q39+Q34</f>
        <v>#REF!</v>
      </c>
      <c r="R41" s="137" t="e">
        <f>R34+R39</f>
        <v>#REF!</v>
      </c>
      <c r="S41" s="138" t="e">
        <f>S34+S39</f>
        <v>#REF!</v>
      </c>
      <c r="T41" s="139" t="e">
        <f>T34+T39</f>
        <v>#REF!</v>
      </c>
      <c r="U41" s="140" t="e">
        <f>SUM(U34:U40)</f>
        <v>#REF!</v>
      </c>
      <c r="V41" s="139" t="e">
        <f>V34+V39+V36</f>
        <v>#REF!</v>
      </c>
      <c r="W41" s="141" t="e">
        <f>SUM(W34:W40)</f>
        <v>#REF!</v>
      </c>
      <c r="X41" s="137">
        <f>X34+X39+X36+X35+X37</f>
        <v>35136182</v>
      </c>
      <c r="Y41" s="140" t="e">
        <f>SUM(Y34:Y40)</f>
        <v>#REF!</v>
      </c>
      <c r="Z41" s="238">
        <f>SUM(Z34:Z39)</f>
        <v>2087848</v>
      </c>
      <c r="AA41" s="238">
        <f>SUM(AA34:AA40)</f>
        <v>853873</v>
      </c>
      <c r="AB41" s="238">
        <f>SUM(AB34:AB40)</f>
        <v>2941721</v>
      </c>
      <c r="AC41" s="28"/>
      <c r="AD41" s="107"/>
      <c r="AE41" s="107"/>
      <c r="AF41" s="107"/>
      <c r="AG41" s="107"/>
      <c r="AH41" s="107"/>
      <c r="AI41" s="28"/>
      <c r="AJ41" s="28"/>
      <c r="AK41" s="28"/>
      <c r="AL41" s="28"/>
      <c r="AM41" s="28"/>
      <c r="AN41" s="28"/>
      <c r="AO41" s="28"/>
      <c r="AP41" s="28"/>
      <c r="AQ41" s="28"/>
      <c r="AR41" s="28"/>
      <c r="AS41" s="28"/>
      <c r="AT41" s="28"/>
      <c r="AU41" s="28"/>
      <c r="AV41" s="28"/>
    </row>
    <row r="42" spans="1:63" ht="18.75" x14ac:dyDescent="0.3">
      <c r="A42" s="116"/>
      <c r="B42" s="116"/>
      <c r="C42" s="116"/>
      <c r="D42" s="116"/>
      <c r="E42" s="116"/>
      <c r="F42" s="116"/>
      <c r="G42" s="116"/>
      <c r="H42" s="116"/>
      <c r="I42" s="116"/>
      <c r="J42" s="116"/>
      <c r="K42" s="116"/>
      <c r="L42" s="116"/>
      <c r="M42" s="116"/>
      <c r="N42" s="116"/>
      <c r="O42" s="116"/>
      <c r="P42" s="116"/>
      <c r="Q42" s="116"/>
      <c r="R42" s="116"/>
      <c r="S42" s="32"/>
      <c r="T42" s="26"/>
      <c r="U42" s="142"/>
      <c r="V42" s="26"/>
      <c r="W42" s="32"/>
      <c r="X42" s="26"/>
      <c r="Y42" s="32"/>
      <c r="Z42" s="26"/>
      <c r="AA42" s="33"/>
      <c r="AB42" s="33"/>
      <c r="AC42" s="33"/>
      <c r="AD42" s="84"/>
      <c r="AE42" s="84"/>
      <c r="AF42" s="84"/>
      <c r="AG42" s="84"/>
      <c r="AH42" s="84"/>
      <c r="AI42" s="33"/>
      <c r="AJ42" s="33"/>
      <c r="AK42" s="33"/>
      <c r="AL42" s="33"/>
      <c r="AM42" s="33"/>
      <c r="AN42" s="33"/>
      <c r="AO42" s="33"/>
      <c r="AP42" s="33"/>
      <c r="AQ42" s="33"/>
      <c r="AR42" s="33"/>
      <c r="AS42" s="33"/>
      <c r="AT42" s="33"/>
      <c r="AU42" s="33"/>
      <c r="AV42" s="33"/>
    </row>
    <row r="43" spans="1:63" ht="18.75" x14ac:dyDescent="0.3">
      <c r="B43" s="65"/>
      <c r="C43" s="65"/>
      <c r="D43" s="65"/>
      <c r="E43" s="65" t="s">
        <v>22</v>
      </c>
      <c r="F43" s="65"/>
      <c r="G43" s="65"/>
      <c r="H43" s="65"/>
      <c r="I43" s="65"/>
      <c r="J43" s="65"/>
      <c r="K43" s="65"/>
      <c r="L43" s="65"/>
      <c r="M43" s="65"/>
      <c r="N43" s="65"/>
      <c r="O43" s="65"/>
      <c r="P43" s="65"/>
      <c r="Q43" s="65"/>
      <c r="R43" s="65"/>
      <c r="S43" s="67"/>
      <c r="U43" s="143"/>
      <c r="V43" s="144" t="s">
        <v>29</v>
      </c>
      <c r="W43" s="32"/>
      <c r="X43" s="26"/>
      <c r="Y43" s="67"/>
      <c r="Z43" s="26"/>
      <c r="AA43" s="67"/>
      <c r="AB43" s="33" t="s">
        <v>100</v>
      </c>
      <c r="AC43" s="33"/>
      <c r="AD43" s="33"/>
      <c r="AE43" s="33"/>
      <c r="AF43" s="33"/>
      <c r="AG43" s="33"/>
      <c r="AH43" s="33"/>
      <c r="AI43" s="33"/>
      <c r="AJ43" s="33"/>
      <c r="AK43" s="33"/>
      <c r="AL43" s="33"/>
      <c r="AM43" s="33"/>
      <c r="AN43" s="33"/>
      <c r="AO43" s="33"/>
      <c r="AP43" s="33"/>
      <c r="AQ43" s="33"/>
      <c r="AR43" s="33"/>
      <c r="AS43" s="33"/>
      <c r="AT43" s="33"/>
      <c r="AU43" s="33"/>
      <c r="AV43" s="33"/>
    </row>
    <row r="44" spans="1:63" ht="18.75" x14ac:dyDescent="0.3">
      <c r="A44" s="253"/>
      <c r="B44" s="79"/>
      <c r="C44" s="79"/>
      <c r="D44" s="79"/>
      <c r="E44" s="79"/>
      <c r="F44" s="79"/>
      <c r="G44" s="79"/>
      <c r="H44" s="79"/>
      <c r="I44" s="79"/>
      <c r="J44" s="79"/>
      <c r="K44" s="142"/>
      <c r="L44" s="142"/>
      <c r="M44" s="142"/>
      <c r="N44" s="142"/>
      <c r="O44" s="142"/>
      <c r="P44" s="142"/>
      <c r="Q44" s="142"/>
      <c r="R44" s="142"/>
      <c r="S44" s="142"/>
      <c r="T44" s="112"/>
      <c r="U44" s="112"/>
      <c r="V44" s="112"/>
      <c r="W44" s="142"/>
      <c r="X44" s="112"/>
      <c r="Y44" s="142"/>
      <c r="Z44" s="112"/>
      <c r="AA44" s="142"/>
      <c r="AB44" s="62"/>
      <c r="AC44" s="33"/>
      <c r="AD44" s="33"/>
      <c r="AE44" s="33"/>
      <c r="AF44" s="33"/>
      <c r="AG44" s="33"/>
      <c r="AH44" s="33"/>
      <c r="AI44" s="33"/>
      <c r="AJ44" s="33"/>
      <c r="AK44" s="33"/>
      <c r="AL44" s="33"/>
      <c r="AM44" s="33"/>
      <c r="AN44" s="33"/>
      <c r="AO44" s="33"/>
      <c r="AP44" s="33"/>
      <c r="AQ44" s="33"/>
      <c r="AR44" s="33"/>
      <c r="AS44" s="33"/>
      <c r="AT44" s="33"/>
      <c r="AU44" s="33"/>
      <c r="AV44" s="33"/>
      <c r="AW44" s="143"/>
      <c r="AX44" s="143"/>
      <c r="AY44" s="143"/>
      <c r="AZ44" s="143"/>
      <c r="BA44" s="143"/>
      <c r="BB44" s="143"/>
      <c r="BC44" s="143"/>
    </row>
    <row r="45" spans="1:63" ht="18.75" x14ac:dyDescent="0.3">
      <c r="A45" s="253"/>
      <c r="B45" s="79"/>
      <c r="C45" s="79"/>
      <c r="D45" s="79"/>
      <c r="E45" s="79"/>
      <c r="F45" s="79"/>
      <c r="G45" s="79"/>
      <c r="H45" s="79"/>
      <c r="I45" s="79"/>
      <c r="J45" s="79"/>
      <c r="K45" s="142"/>
      <c r="L45" s="142"/>
      <c r="M45" s="142"/>
      <c r="N45" s="142"/>
      <c r="O45" s="142"/>
      <c r="P45" s="142"/>
      <c r="Q45" s="142"/>
      <c r="R45" s="142"/>
      <c r="S45" s="142"/>
      <c r="T45" s="112"/>
      <c r="U45" s="112"/>
      <c r="V45" s="145"/>
      <c r="W45" s="146"/>
      <c r="X45" s="146"/>
      <c r="Y45" s="146"/>
      <c r="Z45" s="145"/>
      <c r="AA45" s="147"/>
      <c r="AB45" s="148"/>
      <c r="AC45" s="156"/>
      <c r="AD45" s="147"/>
      <c r="AE45" s="147"/>
      <c r="AF45" s="254"/>
      <c r="AG45" s="254"/>
      <c r="AH45" s="147"/>
      <c r="AI45" s="147"/>
      <c r="AJ45" s="158"/>
      <c r="AK45" s="158"/>
      <c r="AL45" s="62"/>
      <c r="AM45" s="62"/>
      <c r="AN45" s="62"/>
      <c r="AO45" s="62"/>
      <c r="AP45" s="62"/>
      <c r="AQ45" s="62"/>
      <c r="AR45" s="62"/>
      <c r="AS45" s="62"/>
      <c r="AT45" s="62"/>
      <c r="AU45" s="62"/>
      <c r="AV45" s="62"/>
      <c r="AW45" s="143"/>
      <c r="AX45" s="143"/>
      <c r="AY45" s="143"/>
      <c r="AZ45" s="143"/>
      <c r="BA45" s="143"/>
      <c r="BB45" s="143"/>
      <c r="BC45" s="143"/>
      <c r="BD45" s="143"/>
    </row>
    <row r="46" spans="1:63" ht="15.75" x14ac:dyDescent="0.25">
      <c r="A46" s="147"/>
      <c r="B46" s="147"/>
      <c r="C46" s="147"/>
      <c r="D46" s="147"/>
      <c r="E46" s="150"/>
      <c r="F46" s="147"/>
      <c r="G46" s="147"/>
      <c r="H46" s="147"/>
      <c r="I46" s="147"/>
      <c r="J46" s="147"/>
      <c r="K46" s="147"/>
      <c r="L46" s="147"/>
      <c r="M46" s="151"/>
      <c r="N46" s="147"/>
      <c r="O46" s="147"/>
      <c r="P46" s="147"/>
      <c r="Q46" s="147"/>
      <c r="R46" s="147"/>
      <c r="S46" s="32"/>
      <c r="U46" s="143"/>
      <c r="V46" s="152" t="s">
        <v>30</v>
      </c>
      <c r="W46" s="153"/>
      <c r="X46" s="153"/>
      <c r="Y46" s="153"/>
      <c r="Z46" s="146"/>
      <c r="AA46" s="147"/>
      <c r="AB46" s="147"/>
      <c r="AC46" s="147"/>
      <c r="AD46" s="147"/>
      <c r="AE46" s="147"/>
      <c r="AF46" s="151"/>
      <c r="AG46" s="147"/>
      <c r="AH46" s="147"/>
      <c r="AI46" s="147"/>
      <c r="AJ46" s="147"/>
      <c r="AK46" s="147"/>
      <c r="AL46" s="62"/>
      <c r="AM46" s="62"/>
      <c r="AN46" s="62"/>
      <c r="AO46" s="62"/>
      <c r="AP46" s="62"/>
      <c r="AQ46" s="62"/>
      <c r="AR46" s="62"/>
      <c r="AS46" s="62"/>
      <c r="AT46" s="62"/>
      <c r="AU46" s="62"/>
      <c r="AV46" s="62"/>
      <c r="AW46" s="143"/>
      <c r="AX46" s="143"/>
      <c r="AY46" s="143"/>
      <c r="AZ46" s="143"/>
      <c r="BA46" s="143"/>
      <c r="BB46" s="143"/>
      <c r="BC46" s="143"/>
      <c r="BD46" s="143"/>
    </row>
    <row r="47" spans="1:63" ht="18.75" x14ac:dyDescent="0.3">
      <c r="A47" s="65"/>
      <c r="B47" s="65"/>
      <c r="C47" s="65"/>
      <c r="D47" s="65"/>
      <c r="E47" s="65"/>
      <c r="F47" s="65"/>
      <c r="G47" s="65"/>
      <c r="H47" s="65"/>
      <c r="I47" s="65"/>
      <c r="J47" s="65"/>
      <c r="K47" s="32"/>
      <c r="L47" s="32"/>
      <c r="M47" s="154"/>
      <c r="N47" s="154"/>
      <c r="O47" s="154"/>
      <c r="P47" s="154"/>
      <c r="Q47" s="154"/>
      <c r="R47" s="32"/>
      <c r="S47" s="154"/>
      <c r="T47" s="26"/>
      <c r="U47" s="155"/>
      <c r="V47" s="26"/>
      <c r="W47" s="26"/>
      <c r="X47" s="26"/>
      <c r="Y47" s="26"/>
      <c r="Z47" s="112"/>
      <c r="AA47" s="62"/>
      <c r="AB47" s="62"/>
      <c r="AC47" s="62"/>
      <c r="AD47" s="62"/>
      <c r="AE47" s="62"/>
      <c r="AF47" s="62"/>
      <c r="AG47" s="62"/>
      <c r="AH47" s="62"/>
      <c r="AI47" s="62"/>
      <c r="AJ47" s="62"/>
      <c r="AK47" s="62"/>
      <c r="AL47" s="62"/>
      <c r="AM47" s="62"/>
      <c r="AN47" s="62"/>
      <c r="AO47" s="62"/>
      <c r="AP47" s="62"/>
      <c r="AQ47" s="62"/>
      <c r="AR47" s="62"/>
      <c r="AS47" s="62"/>
      <c r="AT47" s="62"/>
      <c r="AU47" s="62"/>
      <c r="AV47" s="62"/>
      <c r="AW47" s="143"/>
      <c r="AX47" s="143"/>
      <c r="AY47" s="143"/>
      <c r="AZ47" s="143"/>
      <c r="BA47" s="143"/>
      <c r="BB47" s="143"/>
      <c r="BC47" s="143"/>
      <c r="BD47" s="143"/>
    </row>
    <row r="48" spans="1:63" ht="15.75" x14ac:dyDescent="0.25">
      <c r="S48" s="159"/>
      <c r="T48" s="159"/>
      <c r="U48" s="159"/>
      <c r="V48" s="159"/>
      <c r="W48" s="159"/>
      <c r="X48" s="159"/>
      <c r="Y48" s="159"/>
      <c r="Z48" s="160"/>
      <c r="AA48" s="161"/>
      <c r="AB48" s="161"/>
      <c r="AC48" s="161"/>
      <c r="AD48" s="161"/>
      <c r="AE48" s="161"/>
      <c r="AF48" s="161"/>
      <c r="AG48" s="161"/>
      <c r="AH48" s="161"/>
      <c r="AI48" s="161"/>
      <c r="AJ48" s="161"/>
      <c r="AK48" s="161"/>
      <c r="AL48" s="161"/>
      <c r="AM48" s="161"/>
      <c r="AN48" s="161"/>
      <c r="AO48" s="161"/>
      <c r="AP48" s="161"/>
      <c r="AQ48" s="161"/>
      <c r="AR48" s="161"/>
      <c r="AS48" s="161"/>
      <c r="AT48" s="161"/>
      <c r="AU48" s="161"/>
      <c r="AV48" s="161"/>
      <c r="AW48" s="161"/>
      <c r="AX48" s="161"/>
      <c r="AY48" s="161"/>
      <c r="AZ48" s="161"/>
      <c r="BA48" s="161"/>
      <c r="BB48" s="161"/>
      <c r="BC48" s="161"/>
      <c r="BD48" s="163"/>
      <c r="BE48" s="163"/>
      <c r="BF48" s="163"/>
      <c r="BG48" s="163"/>
      <c r="BH48" s="163"/>
      <c r="BI48" s="163"/>
      <c r="BJ48" s="163"/>
      <c r="BK48" s="163"/>
    </row>
    <row r="49" spans="1:63" ht="15.75" x14ac:dyDescent="0.25">
      <c r="S49" s="159"/>
      <c r="T49" s="159"/>
      <c r="U49" s="159"/>
      <c r="V49" s="159"/>
      <c r="W49" s="159"/>
      <c r="X49" s="162"/>
      <c r="Y49" s="159"/>
      <c r="Z49" s="159"/>
      <c r="AA49" s="163"/>
      <c r="AB49" s="163"/>
      <c r="AC49" s="163"/>
      <c r="AD49" s="163"/>
      <c r="AE49" s="163"/>
      <c r="AF49" s="163"/>
      <c r="AG49" s="163"/>
      <c r="AH49" s="163"/>
      <c r="AI49" s="163"/>
      <c r="AJ49" s="163"/>
      <c r="AK49" s="163"/>
      <c r="AL49" s="163"/>
      <c r="AM49" s="163"/>
      <c r="AN49" s="163"/>
      <c r="AO49" s="163"/>
      <c r="AP49" s="163"/>
      <c r="AQ49" s="163"/>
      <c r="AR49" s="163"/>
      <c r="AS49" s="163"/>
      <c r="AT49" s="163"/>
      <c r="AU49" s="163"/>
      <c r="AV49" s="163"/>
      <c r="AW49" s="163"/>
      <c r="AX49" s="163"/>
      <c r="AY49" s="163"/>
      <c r="AZ49" s="163"/>
      <c r="BA49" s="163"/>
      <c r="BB49" s="163"/>
      <c r="BC49" s="163"/>
      <c r="BD49" s="163"/>
      <c r="BE49" s="163"/>
      <c r="BF49" s="163"/>
      <c r="BG49" s="163"/>
      <c r="BH49" s="163"/>
      <c r="BI49" s="163"/>
      <c r="BJ49" s="163"/>
      <c r="BK49" s="163"/>
    </row>
    <row r="50" spans="1:63" ht="18.75" x14ac:dyDescent="0.3">
      <c r="A50" s="79"/>
      <c r="B50" s="79"/>
      <c r="C50" s="79"/>
      <c r="D50" s="79"/>
      <c r="E50" s="79"/>
      <c r="F50" s="79"/>
      <c r="G50" s="79"/>
      <c r="H50" s="79"/>
      <c r="I50" s="79" t="s">
        <v>22</v>
      </c>
      <c r="J50" s="79"/>
      <c r="K50" s="165"/>
      <c r="L50" s="166"/>
      <c r="M50" s="167"/>
      <c r="N50" s="167"/>
      <c r="O50" s="167"/>
      <c r="P50" s="167"/>
      <c r="Q50" s="167"/>
      <c r="R50" s="166"/>
      <c r="S50" s="166"/>
      <c r="T50" s="26"/>
      <c r="U50" s="166"/>
      <c r="V50" s="26"/>
      <c r="W50" s="26"/>
      <c r="X50" s="26"/>
      <c r="Y50" s="26"/>
      <c r="Z50" s="26"/>
      <c r="AA50" s="168"/>
      <c r="AB50" s="168"/>
      <c r="AC50" s="168"/>
      <c r="AD50" s="168"/>
      <c r="AE50" s="168"/>
      <c r="AF50" s="168"/>
      <c r="AG50" s="168"/>
      <c r="AH50" s="168"/>
      <c r="AI50" s="168"/>
      <c r="AJ50" s="168"/>
      <c r="AK50" s="168"/>
      <c r="AL50" s="168"/>
      <c r="AM50" s="168"/>
      <c r="AN50" s="168"/>
      <c r="AO50" s="168"/>
      <c r="AP50" s="168"/>
      <c r="AQ50" s="168"/>
      <c r="AR50" s="168"/>
      <c r="AS50" s="168"/>
      <c r="AT50" s="168"/>
      <c r="AU50" s="168"/>
      <c r="AV50" s="168"/>
    </row>
    <row r="51" spans="1:63" ht="18.75" x14ac:dyDescent="0.3">
      <c r="A51" s="65"/>
      <c r="B51" s="65"/>
      <c r="C51" s="65"/>
      <c r="D51" s="65"/>
      <c r="E51" s="65"/>
      <c r="F51" s="65"/>
      <c r="G51" s="65"/>
      <c r="H51" s="65"/>
      <c r="I51" s="65"/>
      <c r="J51" s="65"/>
      <c r="K51" s="32"/>
      <c r="L51" s="170"/>
      <c r="M51" s="32"/>
      <c r="N51" s="154"/>
      <c r="O51" s="154"/>
      <c r="P51" s="154"/>
      <c r="Q51" s="154"/>
      <c r="R51" s="32"/>
      <c r="S51" s="171"/>
      <c r="T51" s="26"/>
      <c r="U51" s="65"/>
      <c r="V51" s="26"/>
      <c r="W51" s="26"/>
      <c r="X51" s="26"/>
      <c r="Y51" s="26"/>
      <c r="Z51" s="26"/>
      <c r="AA51" s="33"/>
      <c r="AB51" s="33"/>
      <c r="AC51" s="33"/>
      <c r="AD51" s="33"/>
      <c r="AE51" s="33"/>
      <c r="AF51" s="33"/>
      <c r="AG51" s="33"/>
      <c r="AH51" s="33"/>
      <c r="AI51" s="33"/>
      <c r="AJ51" s="33"/>
      <c r="AK51" s="33"/>
      <c r="AL51" s="33"/>
      <c r="AM51" s="33"/>
      <c r="AN51" s="33"/>
      <c r="AO51" s="33"/>
      <c r="AP51" s="33"/>
      <c r="AQ51" s="33"/>
      <c r="AR51" s="33"/>
      <c r="AS51" s="33"/>
      <c r="AT51" s="33"/>
      <c r="AU51" s="33"/>
      <c r="AV51" s="33"/>
    </row>
    <row r="52" spans="1:63" ht="18.75" x14ac:dyDescent="0.3">
      <c r="A52" s="65"/>
      <c r="B52" s="65"/>
      <c r="C52" s="65"/>
      <c r="D52" s="65"/>
      <c r="E52" s="65"/>
      <c r="F52" s="65"/>
      <c r="G52" s="65"/>
      <c r="H52" s="65"/>
      <c r="I52" s="65"/>
      <c r="J52" s="65"/>
      <c r="K52" s="32"/>
      <c r="L52" s="170"/>
      <c r="M52" s="32"/>
      <c r="N52" s="154"/>
      <c r="O52" s="154"/>
      <c r="P52" s="154"/>
      <c r="Q52" s="154"/>
      <c r="R52" s="32"/>
      <c r="S52" s="171"/>
      <c r="T52" s="26"/>
      <c r="U52" s="65"/>
      <c r="V52" s="26"/>
      <c r="W52" s="26"/>
      <c r="X52" s="26"/>
      <c r="Y52" s="173">
        <v>39233</v>
      </c>
      <c r="Z52" s="26"/>
      <c r="AA52" s="33"/>
      <c r="AB52" s="33"/>
      <c r="AC52" s="33"/>
      <c r="AD52" s="33"/>
      <c r="AE52" s="33"/>
      <c r="AF52" s="33"/>
      <c r="AG52" s="33"/>
      <c r="AH52" s="33"/>
      <c r="AI52" s="33"/>
      <c r="AJ52" s="33"/>
      <c r="AK52" s="33"/>
      <c r="AL52" s="33"/>
      <c r="AM52" s="33"/>
      <c r="AN52" s="33"/>
      <c r="AO52" s="33"/>
      <c r="AP52" s="33"/>
      <c r="AQ52" s="33"/>
      <c r="AR52" s="33"/>
      <c r="AS52" s="33"/>
      <c r="AT52" s="33"/>
      <c r="AU52" s="33"/>
      <c r="AV52" s="33"/>
    </row>
    <row r="53" spans="1:63" ht="18.75" x14ac:dyDescent="0.3">
      <c r="A53" s="65"/>
      <c r="B53" s="65"/>
      <c r="C53" s="65"/>
      <c r="D53" s="65"/>
      <c r="E53" s="65"/>
      <c r="F53" s="65"/>
      <c r="G53" s="65"/>
      <c r="H53" s="65"/>
      <c r="I53" s="65"/>
      <c r="J53" s="65"/>
      <c r="K53" s="32"/>
      <c r="L53" s="170"/>
      <c r="M53" s="154">
        <v>5101790.63</v>
      </c>
      <c r="N53" s="154"/>
      <c r="O53" s="154">
        <v>6436448.6699999999</v>
      </c>
      <c r="P53" s="154"/>
      <c r="Q53" s="154">
        <v>10349521.92</v>
      </c>
      <c r="R53" s="32"/>
      <c r="S53" s="154">
        <v>15024837.26</v>
      </c>
      <c r="T53" s="26" t="s">
        <v>33</v>
      </c>
      <c r="U53" s="154">
        <v>17562507.760000002</v>
      </c>
      <c r="V53" s="26" t="s">
        <v>33</v>
      </c>
      <c r="W53" s="154">
        <v>22959180.210000001</v>
      </c>
      <c r="X53" s="174" t="s">
        <v>33</v>
      </c>
      <c r="Y53" s="175">
        <v>13078902.26</v>
      </c>
      <c r="Z53" s="24"/>
      <c r="AA53" s="33"/>
      <c r="AB53" s="33"/>
      <c r="AC53" s="33"/>
      <c r="AD53" s="33"/>
      <c r="AE53" s="33"/>
      <c r="AF53" s="33"/>
      <c r="AG53" s="33"/>
      <c r="AH53" s="33"/>
      <c r="AI53" s="33"/>
      <c r="AJ53" s="33"/>
      <c r="AK53" s="33"/>
      <c r="AL53" s="33"/>
      <c r="AM53" s="33"/>
      <c r="AN53" s="33"/>
      <c r="AO53" s="33"/>
      <c r="AP53" s="33"/>
      <c r="AQ53" s="33"/>
      <c r="AR53" s="33"/>
      <c r="AS53" s="33"/>
      <c r="AT53" s="33"/>
      <c r="AU53" s="33"/>
      <c r="AV53" s="33"/>
    </row>
    <row r="54" spans="1:63" ht="18.75" x14ac:dyDescent="0.3">
      <c r="A54" s="65"/>
      <c r="B54" s="65"/>
      <c r="C54" s="65"/>
      <c r="D54" s="65"/>
      <c r="E54" s="65"/>
      <c r="F54" s="65"/>
      <c r="G54" s="65"/>
      <c r="H54" s="65"/>
      <c r="I54" s="65"/>
      <c r="J54" s="65"/>
      <c r="K54" s="32"/>
      <c r="L54" s="170"/>
      <c r="M54" s="154">
        <v>2435546.67</v>
      </c>
      <c r="N54" s="154"/>
      <c r="O54" s="154">
        <v>2034508.56</v>
      </c>
      <c r="P54" s="154"/>
      <c r="Q54" s="154">
        <v>890204.2</v>
      </c>
      <c r="R54" s="32"/>
      <c r="S54" s="154">
        <f>2649012.99-386707</f>
        <v>2262305.9900000002</v>
      </c>
      <c r="T54" s="26" t="s">
        <v>34</v>
      </c>
      <c r="U54" s="154">
        <f>+U64</f>
        <v>7716730.4199999999</v>
      </c>
      <c r="V54" s="26" t="s">
        <v>34</v>
      </c>
      <c r="W54" s="154">
        <v>3995193.16</v>
      </c>
      <c r="X54" s="26" t="s">
        <v>34</v>
      </c>
      <c r="Y54" s="176">
        <v>5437540.0700000003</v>
      </c>
      <c r="Z54" s="24"/>
      <c r="AA54" s="33"/>
      <c r="AB54" s="33"/>
      <c r="AC54" s="33"/>
      <c r="AD54" s="33"/>
      <c r="AE54" s="33"/>
      <c r="AF54" s="33"/>
      <c r="AG54" s="33"/>
      <c r="AH54" s="33"/>
      <c r="AI54" s="33"/>
      <c r="AJ54" s="33"/>
      <c r="AK54" s="33"/>
      <c r="AL54" s="33"/>
      <c r="AM54" s="33"/>
      <c r="AN54" s="33"/>
      <c r="AO54" s="33"/>
      <c r="AP54" s="33"/>
      <c r="AQ54" s="33"/>
      <c r="AR54" s="33"/>
      <c r="AS54" s="33"/>
      <c r="AT54" s="33"/>
      <c r="AU54" s="33"/>
      <c r="AV54" s="33"/>
    </row>
    <row r="55" spans="1:63" ht="18.75" x14ac:dyDescent="0.3">
      <c r="A55" s="65"/>
      <c r="B55" s="65"/>
      <c r="C55" s="65"/>
      <c r="D55" s="65"/>
      <c r="E55" s="65"/>
      <c r="F55" s="65"/>
      <c r="G55" s="65"/>
      <c r="H55" s="65"/>
      <c r="I55" s="65"/>
      <c r="J55" s="65"/>
      <c r="K55" s="32"/>
      <c r="L55" s="170"/>
      <c r="M55" s="154">
        <v>723337.82</v>
      </c>
      <c r="N55" s="154"/>
      <c r="O55" s="154">
        <v>45437.84</v>
      </c>
      <c r="P55" s="154"/>
      <c r="Q55" s="154">
        <v>57676.35</v>
      </c>
      <c r="R55" s="32"/>
      <c r="S55" s="154">
        <v>58271.39</v>
      </c>
      <c r="T55" s="26" t="s">
        <v>35</v>
      </c>
      <c r="U55" s="178">
        <v>59749.52</v>
      </c>
      <c r="V55" s="26" t="s">
        <v>35</v>
      </c>
      <c r="W55" s="154">
        <v>0</v>
      </c>
      <c r="X55" s="26" t="s">
        <v>35</v>
      </c>
      <c r="Y55" s="175">
        <v>0</v>
      </c>
      <c r="Z55" s="24"/>
      <c r="AA55" s="33"/>
      <c r="AB55" s="33"/>
      <c r="AC55" s="33"/>
      <c r="AD55" s="33"/>
      <c r="AE55" s="33"/>
      <c r="AF55" s="33"/>
      <c r="AG55" s="33"/>
      <c r="AH55" s="33"/>
      <c r="AI55" s="33"/>
      <c r="AJ55" s="33"/>
      <c r="AK55" s="33"/>
      <c r="AL55" s="33"/>
      <c r="AM55" s="33"/>
      <c r="AN55" s="33"/>
      <c r="AO55" s="33"/>
      <c r="AP55" s="33"/>
      <c r="AQ55" s="33"/>
      <c r="AR55" s="33"/>
      <c r="AS55" s="33"/>
      <c r="AT55" s="33"/>
      <c r="AU55" s="33"/>
      <c r="AV55" s="33"/>
    </row>
    <row r="56" spans="1:63" ht="19.5" thickBot="1" x14ac:dyDescent="0.35">
      <c r="A56" s="65"/>
      <c r="B56" s="65"/>
      <c r="C56" s="65"/>
      <c r="D56" s="65"/>
      <c r="E56" s="65"/>
      <c r="F56" s="65"/>
      <c r="G56" s="65"/>
      <c r="H56" s="65"/>
      <c r="I56" s="65"/>
      <c r="J56" s="65"/>
      <c r="K56" s="32"/>
      <c r="L56" s="170"/>
      <c r="M56" s="154">
        <f>SUM(M53:M55)</f>
        <v>8260675.1200000001</v>
      </c>
      <c r="N56" s="154"/>
      <c r="O56" s="154">
        <f>SUM(O53:O55)</f>
        <v>8516395.0700000003</v>
      </c>
      <c r="P56" s="154"/>
      <c r="Q56" s="154">
        <f>SUM(Q53:Q55)</f>
        <v>11297402.469999999</v>
      </c>
      <c r="R56" s="32"/>
      <c r="S56" s="154">
        <f>SUM(S53:S55)</f>
        <v>17345414.640000001</v>
      </c>
      <c r="T56" s="26"/>
      <c r="U56" s="179">
        <f>SUM(U53:U55)</f>
        <v>25338987.699999999</v>
      </c>
      <c r="V56" s="24"/>
      <c r="W56" s="180">
        <f>SUM(W53:W55)</f>
        <v>26954373.370000001</v>
      </c>
      <c r="X56" s="154"/>
      <c r="Y56" s="181">
        <f>SUM(Y53:Y55)</f>
        <v>18516442.329999998</v>
      </c>
      <c r="Z56" s="182"/>
      <c r="AA56" s="33"/>
      <c r="AB56" s="33"/>
      <c r="AC56" s="33"/>
      <c r="AD56" s="33"/>
      <c r="AE56" s="33"/>
      <c r="AF56" s="33"/>
      <c r="AG56" s="33"/>
      <c r="AH56" s="33"/>
      <c r="AI56" s="33"/>
      <c r="AJ56" s="33"/>
      <c r="AK56" s="33"/>
      <c r="AL56" s="33"/>
      <c r="AM56" s="33"/>
      <c r="AN56" s="33"/>
      <c r="AO56" s="33"/>
      <c r="AP56" s="33"/>
      <c r="AQ56" s="33"/>
      <c r="AR56" s="33"/>
      <c r="AS56" s="33"/>
      <c r="AT56" s="33"/>
      <c r="AU56" s="33"/>
      <c r="AV56" s="33"/>
    </row>
    <row r="57" spans="1:63" ht="19.5" thickTop="1" x14ac:dyDescent="0.3">
      <c r="A57" s="65"/>
      <c r="B57" s="65"/>
      <c r="C57" s="65"/>
      <c r="D57" s="65"/>
      <c r="E57" s="65"/>
      <c r="F57" s="65"/>
      <c r="G57" s="65"/>
      <c r="H57" s="65"/>
      <c r="I57" s="65"/>
      <c r="J57" s="65"/>
      <c r="K57" s="32"/>
      <c r="L57" s="170"/>
      <c r="M57" s="32"/>
      <c r="N57" s="154"/>
      <c r="O57" s="154"/>
      <c r="P57" s="154"/>
      <c r="Q57" s="154"/>
      <c r="R57" s="32"/>
      <c r="S57" s="154"/>
      <c r="T57" s="26"/>
      <c r="U57" s="32"/>
      <c r="V57" s="26"/>
      <c r="W57" s="183"/>
      <c r="X57" s="183"/>
      <c r="Y57" s="184"/>
      <c r="Z57" s="184"/>
      <c r="AA57" s="33"/>
      <c r="AB57" s="33"/>
      <c r="AC57" s="33"/>
      <c r="AD57" s="33"/>
      <c r="AE57" s="33"/>
      <c r="AF57" s="33"/>
      <c r="AG57" s="33"/>
      <c r="AH57" s="33"/>
      <c r="AI57" s="33"/>
      <c r="AJ57" s="33"/>
      <c r="AK57" s="33"/>
      <c r="AL57" s="33"/>
      <c r="AM57" s="33"/>
      <c r="AN57" s="33"/>
      <c r="AO57" s="33"/>
      <c r="AP57" s="33"/>
      <c r="AQ57" s="33"/>
      <c r="AR57" s="33"/>
      <c r="AS57" s="33"/>
      <c r="AT57" s="33"/>
      <c r="AU57" s="33"/>
      <c r="AV57" s="33"/>
    </row>
    <row r="58" spans="1:63" ht="18.75" x14ac:dyDescent="0.3">
      <c r="A58" s="65"/>
      <c r="B58" s="65"/>
      <c r="C58" s="65"/>
      <c r="D58" s="65"/>
      <c r="E58" s="65"/>
      <c r="F58" s="65"/>
      <c r="G58" s="65"/>
      <c r="H58" s="65"/>
      <c r="I58" s="65"/>
      <c r="J58" s="65"/>
      <c r="K58" s="32"/>
      <c r="L58" s="170"/>
      <c r="M58" s="167">
        <f>+M56-M39</f>
        <v>1300642.5200000023</v>
      </c>
      <c r="N58" s="167"/>
      <c r="O58" s="167" t="e">
        <f>+O56-O39</f>
        <v>#REF!</v>
      </c>
      <c r="P58" s="167"/>
      <c r="Q58" s="167" t="e">
        <f>+Q56-Q39</f>
        <v>#REF!</v>
      </c>
      <c r="R58" s="166"/>
      <c r="S58" s="167" t="e">
        <f>+S56-S39</f>
        <v>#REF!</v>
      </c>
      <c r="T58" s="26"/>
      <c r="U58" s="167" t="e">
        <f>+U56-U39</f>
        <v>#REF!</v>
      </c>
      <c r="V58" s="26"/>
      <c r="W58" s="154" t="e">
        <f>+W39-W56</f>
        <v>#REF!</v>
      </c>
      <c r="X58" s="183"/>
      <c r="Y58" s="154" t="e">
        <f>+Y39-Y56</f>
        <v>#REF!</v>
      </c>
      <c r="Z58" s="184"/>
      <c r="AA58" s="33"/>
      <c r="AB58" s="33"/>
      <c r="AC58" s="33"/>
      <c r="AD58" s="33"/>
      <c r="AE58" s="33"/>
      <c r="AF58" s="33"/>
      <c r="AG58" s="33"/>
      <c r="AH58" s="33"/>
      <c r="AI58" s="33"/>
      <c r="AJ58" s="33"/>
      <c r="AK58" s="33"/>
      <c r="AL58" s="33"/>
      <c r="AM58" s="33"/>
      <c r="AN58" s="33"/>
      <c r="AO58" s="33"/>
      <c r="AP58" s="33"/>
      <c r="AQ58" s="33"/>
      <c r="AR58" s="33"/>
      <c r="AS58" s="33"/>
      <c r="AT58" s="33"/>
      <c r="AU58" s="33"/>
      <c r="AV58" s="33"/>
    </row>
    <row r="59" spans="1:63" ht="18.75" x14ac:dyDescent="0.3">
      <c r="A59" s="65"/>
      <c r="B59" s="65"/>
      <c r="C59" s="65"/>
      <c r="D59" s="65"/>
      <c r="E59" s="65"/>
      <c r="F59" s="65"/>
      <c r="G59" s="65"/>
      <c r="H59" s="65"/>
      <c r="I59" s="65"/>
      <c r="J59" s="65"/>
      <c r="K59" s="32"/>
      <c r="L59" s="170"/>
      <c r="M59" s="32"/>
      <c r="N59" s="154"/>
      <c r="O59" s="154"/>
      <c r="P59" s="154"/>
      <c r="Q59" s="154"/>
      <c r="R59" s="32"/>
      <c r="S59" s="171"/>
      <c r="T59" s="26"/>
      <c r="U59" s="65"/>
      <c r="V59" s="26"/>
      <c r="W59" s="184"/>
      <c r="X59" s="184"/>
      <c r="Y59" s="184"/>
      <c r="Z59" s="184"/>
      <c r="AA59" s="33"/>
      <c r="AB59" s="33"/>
      <c r="AC59" s="33"/>
      <c r="AD59" s="33"/>
      <c r="AE59" s="33"/>
      <c r="AF59" s="33"/>
      <c r="AG59" s="33"/>
      <c r="AH59" s="33"/>
      <c r="AI59" s="33"/>
      <c r="AJ59" s="33"/>
      <c r="AK59" s="33"/>
      <c r="AL59" s="33"/>
      <c r="AM59" s="33"/>
      <c r="AN59" s="33"/>
      <c r="AO59" s="33"/>
      <c r="AP59" s="33"/>
      <c r="AQ59" s="33"/>
      <c r="AR59" s="33"/>
      <c r="AS59" s="33"/>
      <c r="AT59" s="33"/>
      <c r="AU59" s="33"/>
      <c r="AV59" s="33"/>
    </row>
    <row r="60" spans="1:63" ht="18.75" x14ac:dyDescent="0.3">
      <c r="A60" s="65"/>
      <c r="B60" s="65"/>
      <c r="C60" s="65"/>
      <c r="D60" s="65"/>
      <c r="E60" s="65"/>
      <c r="F60" s="65"/>
      <c r="G60" s="65"/>
      <c r="H60" s="65"/>
      <c r="I60" s="65"/>
      <c r="J60" s="65"/>
      <c r="K60" s="32"/>
      <c r="L60" s="170"/>
      <c r="M60" s="32"/>
      <c r="N60" s="154"/>
      <c r="O60" s="154"/>
      <c r="P60" s="154"/>
      <c r="Q60" s="154"/>
      <c r="R60" s="32" t="s">
        <v>34</v>
      </c>
      <c r="S60" s="171">
        <v>2649012.9900000002</v>
      </c>
      <c r="T60" s="26" t="s">
        <v>34</v>
      </c>
      <c r="U60" s="65">
        <v>7716730.4199999999</v>
      </c>
      <c r="V60" s="26" t="s">
        <v>34</v>
      </c>
      <c r="W60" s="182">
        <f>+W54</f>
        <v>3995193.16</v>
      </c>
      <c r="X60" s="65" t="s">
        <v>36</v>
      </c>
      <c r="Y60" s="185">
        <v>1161376</v>
      </c>
      <c r="Z60" s="184"/>
      <c r="AA60" s="33"/>
      <c r="AB60" s="33"/>
      <c r="AC60" s="33"/>
      <c r="AD60" s="33"/>
      <c r="AE60" s="33"/>
      <c r="AF60" s="33"/>
      <c r="AG60" s="33"/>
      <c r="AH60" s="33"/>
      <c r="AI60" s="33"/>
      <c r="AJ60" s="33"/>
      <c r="AK60" s="33"/>
      <c r="AL60" s="33"/>
      <c r="AM60" s="33"/>
      <c r="AN60" s="33"/>
      <c r="AO60" s="33"/>
      <c r="AP60" s="33"/>
      <c r="AQ60" s="33"/>
      <c r="AR60" s="33"/>
      <c r="AS60" s="33"/>
      <c r="AT60" s="33"/>
      <c r="AU60" s="33"/>
      <c r="AV60" s="33"/>
    </row>
    <row r="61" spans="1:63" ht="18.75" x14ac:dyDescent="0.3">
      <c r="A61" s="65"/>
      <c r="B61" s="65" t="s">
        <v>22</v>
      </c>
      <c r="C61" s="65"/>
      <c r="D61" s="65"/>
      <c r="E61" s="65"/>
      <c r="F61" s="65"/>
      <c r="G61" s="65"/>
      <c r="H61" s="65"/>
      <c r="I61" s="65"/>
      <c r="J61" s="65"/>
      <c r="K61" s="32"/>
      <c r="L61" s="170"/>
      <c r="M61" s="32"/>
      <c r="N61" s="154"/>
      <c r="O61" s="154"/>
      <c r="P61" s="154"/>
      <c r="Q61" s="154"/>
      <c r="R61" s="32" t="s">
        <v>38</v>
      </c>
      <c r="S61" s="185">
        <v>386707</v>
      </c>
      <c r="T61" s="26"/>
      <c r="U61" s="32"/>
      <c r="V61" s="26"/>
      <c r="W61" s="182"/>
      <c r="X61" s="65" t="s">
        <v>39</v>
      </c>
      <c r="Y61" s="185">
        <v>5477772</v>
      </c>
      <c r="Z61" s="184"/>
      <c r="AA61" s="33"/>
      <c r="AB61" s="33"/>
      <c r="AC61" s="33"/>
      <c r="AD61" s="33"/>
      <c r="AE61" s="33"/>
      <c r="AF61" s="33"/>
      <c r="AG61" s="33"/>
      <c r="AH61" s="33"/>
      <c r="AI61" s="33"/>
      <c r="AJ61" s="33"/>
      <c r="AK61" s="33"/>
      <c r="AL61" s="33"/>
      <c r="AM61" s="33"/>
      <c r="AN61" s="33"/>
      <c r="AO61" s="33"/>
      <c r="AP61" s="33"/>
      <c r="AQ61" s="33"/>
      <c r="AR61" s="33"/>
      <c r="AS61" s="33"/>
      <c r="AT61" s="33"/>
      <c r="AU61" s="33"/>
      <c r="AV61" s="33"/>
    </row>
    <row r="62" spans="1:63" ht="18.75" x14ac:dyDescent="0.3">
      <c r="A62" s="65"/>
      <c r="B62" s="65"/>
      <c r="C62" s="65"/>
      <c r="D62" s="65"/>
      <c r="E62" s="65"/>
      <c r="F62" s="65"/>
      <c r="G62" s="65"/>
      <c r="H62" s="65"/>
      <c r="I62" s="65"/>
      <c r="J62" s="65"/>
      <c r="K62" s="32"/>
      <c r="L62" s="170"/>
      <c r="M62" s="32"/>
      <c r="N62" s="154"/>
      <c r="O62" s="154"/>
      <c r="P62" s="154"/>
      <c r="Q62" s="154"/>
      <c r="R62" s="32"/>
      <c r="S62" s="32">
        <v>0</v>
      </c>
      <c r="T62" s="26"/>
      <c r="U62" s="32"/>
      <c r="V62" s="26"/>
      <c r="W62" s="182"/>
      <c r="X62" s="65" t="s">
        <v>40</v>
      </c>
      <c r="Y62" s="185">
        <f>10999378-Y61</f>
        <v>5521606</v>
      </c>
      <c r="Z62" s="184"/>
      <c r="AA62" s="33"/>
      <c r="AB62" s="33"/>
      <c r="AC62" s="33"/>
      <c r="AD62" s="33"/>
      <c r="AE62" s="33"/>
      <c r="AF62" s="33"/>
      <c r="AG62" s="33"/>
      <c r="AH62" s="33"/>
      <c r="AI62" s="33"/>
      <c r="AJ62" s="33"/>
      <c r="AK62" s="33"/>
      <c r="AL62" s="33"/>
      <c r="AM62" s="33"/>
      <c r="AN62" s="33"/>
      <c r="AO62" s="33"/>
      <c r="AP62" s="33"/>
      <c r="AQ62" s="33"/>
      <c r="AR62" s="33"/>
      <c r="AS62" s="33"/>
      <c r="AT62" s="33"/>
      <c r="AU62" s="33"/>
      <c r="AV62" s="33"/>
    </row>
    <row r="63" spans="1:63" ht="18.75" x14ac:dyDescent="0.3">
      <c r="A63" s="65"/>
      <c r="B63" s="65"/>
      <c r="C63" s="65"/>
      <c r="D63" s="65"/>
      <c r="E63" s="65"/>
      <c r="F63" s="65"/>
      <c r="G63" s="65"/>
      <c r="H63" s="65"/>
      <c r="I63" s="65"/>
      <c r="J63" s="65"/>
      <c r="K63" s="32"/>
      <c r="L63" s="170"/>
      <c r="M63" s="32"/>
      <c r="N63" s="154"/>
      <c r="O63" s="154"/>
      <c r="P63" s="154"/>
      <c r="Q63" s="154"/>
      <c r="R63" s="32"/>
      <c r="S63" s="32"/>
      <c r="T63" s="26"/>
      <c r="U63" s="32"/>
      <c r="V63" s="26"/>
      <c r="W63" s="182">
        <f>+U61</f>
        <v>0</v>
      </c>
      <c r="X63" s="81" t="s">
        <v>41</v>
      </c>
      <c r="Y63" s="187">
        <v>1353611</v>
      </c>
      <c r="Z63" s="184"/>
      <c r="AA63" s="33"/>
      <c r="AB63" s="33"/>
      <c r="AC63" s="33"/>
      <c r="AD63" s="33"/>
      <c r="AE63" s="33"/>
      <c r="AF63" s="33"/>
      <c r="AG63" s="33"/>
      <c r="AH63" s="33"/>
      <c r="AI63" s="33"/>
      <c r="AJ63" s="33"/>
      <c r="AK63" s="33"/>
      <c r="AL63" s="33"/>
      <c r="AM63" s="33"/>
      <c r="AN63" s="33"/>
      <c r="AO63" s="33"/>
      <c r="AP63" s="33"/>
      <c r="AQ63" s="33"/>
      <c r="AR63" s="33"/>
      <c r="AS63" s="33"/>
      <c r="AT63" s="33"/>
      <c r="AU63" s="33"/>
      <c r="AV63" s="33"/>
    </row>
    <row r="64" spans="1:63" ht="18.75" x14ac:dyDescent="0.3">
      <c r="A64" s="188"/>
      <c r="B64" s="188"/>
      <c r="C64" s="188"/>
      <c r="D64" s="188"/>
      <c r="E64" s="188"/>
      <c r="F64" s="188"/>
      <c r="G64" s="188"/>
      <c r="H64" s="188"/>
      <c r="I64" s="188"/>
      <c r="J64" s="188"/>
      <c r="K64" s="188"/>
      <c r="L64" s="188"/>
      <c r="M64" s="188"/>
      <c r="N64" s="188"/>
      <c r="O64" s="154"/>
      <c r="P64" s="154"/>
      <c r="Q64" s="154"/>
      <c r="R64" s="32"/>
      <c r="S64" s="171">
        <f>+S60-S61</f>
        <v>2262305.9900000002</v>
      </c>
      <c r="T64" s="26"/>
      <c r="U64" s="65">
        <f>+U60-U61-U62</f>
        <v>7716730.4199999999</v>
      </c>
      <c r="V64" s="26"/>
      <c r="W64" s="182">
        <f>+W60-W61-W62-W63</f>
        <v>3995193.16</v>
      </c>
      <c r="X64" s="65" t="s">
        <v>43</v>
      </c>
      <c r="Y64" s="189">
        <v>5000000</v>
      </c>
      <c r="Z64" s="184"/>
      <c r="AA64" s="33"/>
      <c r="AB64" s="33"/>
      <c r="AC64" s="33"/>
      <c r="AD64" s="33"/>
      <c r="AE64" s="33"/>
      <c r="AF64" s="33"/>
      <c r="AG64" s="33"/>
      <c r="AH64" s="33"/>
      <c r="AI64" s="33"/>
      <c r="AJ64" s="33"/>
      <c r="AK64" s="33"/>
      <c r="AL64" s="33"/>
      <c r="AM64" s="33"/>
      <c r="AN64" s="33"/>
      <c r="AO64" s="33"/>
      <c r="AP64" s="33"/>
      <c r="AQ64" s="33"/>
      <c r="AR64" s="33"/>
      <c r="AS64" s="33"/>
      <c r="AT64" s="33"/>
      <c r="AU64" s="33"/>
      <c r="AV64" s="33"/>
    </row>
    <row r="65" spans="1:48" ht="18.75" x14ac:dyDescent="0.3">
      <c r="A65" s="188"/>
      <c r="B65" s="188"/>
      <c r="C65" s="188"/>
      <c r="D65" s="188"/>
      <c r="E65" s="188"/>
      <c r="F65" s="188"/>
      <c r="G65" s="188"/>
      <c r="H65" s="188"/>
      <c r="I65" s="188"/>
      <c r="J65" s="188"/>
      <c r="K65" s="188"/>
      <c r="L65" s="188"/>
      <c r="M65" s="188"/>
      <c r="N65" s="188"/>
      <c r="O65" s="154"/>
      <c r="P65" s="154"/>
      <c r="Q65" s="154"/>
      <c r="R65" s="32"/>
      <c r="S65" s="171"/>
      <c r="T65" s="26"/>
      <c r="U65" s="65"/>
      <c r="V65" s="26"/>
      <c r="W65" s="182"/>
      <c r="X65" s="65" t="s">
        <v>45</v>
      </c>
      <c r="Y65" s="189">
        <v>25000</v>
      </c>
      <c r="Z65" s="184"/>
      <c r="AA65" s="33"/>
      <c r="AB65" s="33"/>
      <c r="AC65" s="33"/>
      <c r="AD65" s="33"/>
      <c r="AE65" s="33"/>
      <c r="AF65" s="33"/>
      <c r="AG65" s="33"/>
      <c r="AH65" s="33"/>
      <c r="AI65" s="33"/>
      <c r="AJ65" s="33"/>
      <c r="AK65" s="33"/>
      <c r="AL65" s="33"/>
      <c r="AM65" s="33"/>
      <c r="AN65" s="33"/>
      <c r="AO65" s="33"/>
      <c r="AP65" s="33"/>
      <c r="AQ65" s="33"/>
      <c r="AR65" s="33"/>
      <c r="AS65" s="33"/>
      <c r="AT65" s="33"/>
      <c r="AU65" s="33"/>
      <c r="AV65" s="33"/>
    </row>
    <row r="66" spans="1:48" ht="18.75" x14ac:dyDescent="0.3">
      <c r="A66" s="188"/>
      <c r="B66" s="188"/>
      <c r="C66" s="188"/>
      <c r="D66" s="188"/>
      <c r="E66" s="188"/>
      <c r="F66" s="188"/>
      <c r="G66" s="188"/>
      <c r="H66" s="188"/>
      <c r="I66" s="188"/>
      <c r="J66" s="188"/>
      <c r="K66" s="188"/>
      <c r="L66" s="188"/>
      <c r="M66" s="188"/>
      <c r="N66" s="188"/>
      <c r="O66" s="154"/>
      <c r="P66" s="154"/>
      <c r="Q66" s="154"/>
      <c r="R66" s="32"/>
      <c r="S66" s="171"/>
      <c r="T66" s="26"/>
      <c r="U66" s="65"/>
      <c r="V66" s="26"/>
      <c r="W66" s="182"/>
      <c r="X66" s="65"/>
      <c r="Y66" s="189">
        <v>10000</v>
      </c>
      <c r="Z66" s="184"/>
      <c r="AA66" s="33"/>
      <c r="AB66" s="33"/>
      <c r="AC66" s="33"/>
      <c r="AD66" s="33"/>
      <c r="AE66" s="33"/>
      <c r="AF66" s="33"/>
      <c r="AG66" s="33"/>
      <c r="AH66" s="33"/>
      <c r="AI66" s="33"/>
      <c r="AJ66" s="33"/>
      <c r="AK66" s="33"/>
      <c r="AL66" s="33"/>
      <c r="AM66" s="33"/>
      <c r="AN66" s="33"/>
      <c r="AO66" s="33"/>
      <c r="AP66" s="33"/>
      <c r="AQ66" s="33"/>
      <c r="AR66" s="33"/>
      <c r="AS66" s="33"/>
      <c r="AT66" s="33"/>
      <c r="AU66" s="33"/>
      <c r="AV66" s="33"/>
    </row>
    <row r="67" spans="1:48" ht="18.75" x14ac:dyDescent="0.3">
      <c r="A67" s="188"/>
      <c r="B67" s="188"/>
      <c r="C67" s="188"/>
      <c r="D67" s="188"/>
      <c r="E67" s="188"/>
      <c r="F67" s="188"/>
      <c r="G67" s="188"/>
      <c r="H67" s="188"/>
      <c r="I67" s="188"/>
      <c r="J67" s="188"/>
      <c r="K67" s="188"/>
      <c r="L67" s="188"/>
      <c r="M67" s="188"/>
      <c r="N67" s="188"/>
      <c r="O67" s="154"/>
      <c r="P67" s="154"/>
      <c r="Q67" s="154"/>
      <c r="R67" s="32"/>
      <c r="S67" s="171"/>
      <c r="T67" s="26"/>
      <c r="U67" s="65"/>
      <c r="V67" s="26"/>
      <c r="W67" s="182"/>
      <c r="X67" s="65"/>
      <c r="Y67" s="191">
        <v>18649.28</v>
      </c>
      <c r="Z67" s="184"/>
      <c r="AA67" s="33"/>
      <c r="AB67" s="33"/>
      <c r="AC67" s="33"/>
      <c r="AD67" s="33"/>
      <c r="AE67" s="33"/>
      <c r="AF67" s="33"/>
      <c r="AG67" s="33"/>
      <c r="AH67" s="33"/>
      <c r="AI67" s="33"/>
      <c r="AJ67" s="33"/>
      <c r="AK67" s="33"/>
      <c r="AL67" s="33"/>
      <c r="AM67" s="33"/>
      <c r="AN67" s="33"/>
      <c r="AO67" s="33"/>
      <c r="AP67" s="33"/>
      <c r="AQ67" s="33"/>
      <c r="AR67" s="33"/>
      <c r="AS67" s="33"/>
      <c r="AT67" s="33"/>
      <c r="AU67" s="33"/>
      <c r="AV67" s="33"/>
    </row>
    <row r="68" spans="1:48" ht="18.75" x14ac:dyDescent="0.3">
      <c r="A68" s="188"/>
      <c r="B68" s="188"/>
      <c r="C68" s="188"/>
      <c r="D68" s="188"/>
      <c r="E68" s="188"/>
      <c r="F68" s="188"/>
      <c r="G68" s="188"/>
      <c r="H68" s="188"/>
      <c r="I68" s="188"/>
      <c r="J68" s="188"/>
      <c r="K68" s="188"/>
      <c r="L68" s="188"/>
      <c r="M68" s="188"/>
      <c r="N68" s="188"/>
      <c r="O68" s="154"/>
      <c r="P68" s="154"/>
      <c r="Q68" s="154"/>
      <c r="R68" s="32"/>
      <c r="S68" s="171"/>
      <c r="T68" s="26"/>
      <c r="U68" s="65"/>
      <c r="V68" s="26"/>
      <c r="W68" s="182"/>
      <c r="X68" s="65" t="s">
        <v>46</v>
      </c>
      <c r="Y68" s="189">
        <v>10000</v>
      </c>
      <c r="Z68" s="184"/>
      <c r="AA68" s="33"/>
      <c r="AB68" s="33"/>
      <c r="AC68" s="33"/>
      <c r="AD68" s="33"/>
      <c r="AE68" s="33"/>
      <c r="AF68" s="33"/>
      <c r="AG68" s="33"/>
      <c r="AH68" s="33"/>
      <c r="AI68" s="33"/>
      <c r="AJ68" s="33"/>
      <c r="AK68" s="33"/>
      <c r="AL68" s="33"/>
      <c r="AM68" s="33"/>
      <c r="AN68" s="33"/>
      <c r="AO68" s="33"/>
      <c r="AP68" s="33"/>
      <c r="AQ68" s="33"/>
      <c r="AR68" s="33"/>
      <c r="AS68" s="33"/>
      <c r="AT68" s="33"/>
      <c r="AU68" s="33"/>
      <c r="AV68" s="33"/>
    </row>
    <row r="69" spans="1:48" ht="18.75" x14ac:dyDescent="0.3">
      <c r="A69" s="188"/>
      <c r="B69" s="188"/>
      <c r="C69" s="188"/>
      <c r="D69" s="188"/>
      <c r="E69" s="188"/>
      <c r="F69" s="188"/>
      <c r="G69" s="188"/>
      <c r="H69" s="188"/>
      <c r="I69" s="188"/>
      <c r="J69" s="188"/>
      <c r="K69" s="188"/>
      <c r="L69" s="188"/>
      <c r="M69" s="188"/>
      <c r="N69" s="188"/>
      <c r="O69" s="154"/>
      <c r="P69" s="154"/>
      <c r="Q69" s="154"/>
      <c r="R69" s="32"/>
      <c r="S69" s="171"/>
      <c r="T69" s="26"/>
      <c r="U69" s="65"/>
      <c r="V69" s="26"/>
      <c r="W69" s="182"/>
      <c r="X69" s="65" t="s">
        <v>47</v>
      </c>
      <c r="Y69" s="189">
        <v>-2905397.57</v>
      </c>
      <c r="Z69" s="184"/>
      <c r="AA69" s="33"/>
      <c r="AB69" s="33"/>
      <c r="AC69" s="33"/>
      <c r="AD69" s="33"/>
      <c r="AE69" s="33"/>
      <c r="AF69" s="33"/>
      <c r="AG69" s="33"/>
      <c r="AH69" s="33"/>
      <c r="AI69" s="33"/>
      <c r="AJ69" s="33"/>
      <c r="AK69" s="33"/>
      <c r="AL69" s="33"/>
      <c r="AM69" s="33"/>
      <c r="AN69" s="33"/>
      <c r="AO69" s="33"/>
      <c r="AP69" s="33"/>
      <c r="AQ69" s="33"/>
      <c r="AR69" s="33"/>
      <c r="AS69" s="33"/>
      <c r="AT69" s="33"/>
      <c r="AU69" s="33"/>
      <c r="AV69" s="33"/>
    </row>
    <row r="70" spans="1:48" ht="19.5" thickBot="1" x14ac:dyDescent="0.35">
      <c r="A70" s="188"/>
      <c r="B70" s="188"/>
      <c r="C70" s="188"/>
      <c r="D70" s="188"/>
      <c r="E70" s="188"/>
      <c r="F70" s="188"/>
      <c r="G70" s="188"/>
      <c r="H70" s="188"/>
      <c r="I70" s="188"/>
      <c r="J70" s="188"/>
      <c r="K70" s="188"/>
      <c r="L70" s="188"/>
      <c r="M70" s="188"/>
      <c r="N70" s="188"/>
      <c r="O70" s="167"/>
      <c r="P70" s="167"/>
      <c r="Q70" s="167"/>
      <c r="R70" s="170"/>
      <c r="S70" s="32"/>
      <c r="T70" s="26"/>
      <c r="U70" s="32"/>
      <c r="V70" s="26"/>
      <c r="W70" s="184"/>
      <c r="X70" s="65"/>
      <c r="Y70" s="192">
        <f>SUM(Y60:Y69)</f>
        <v>15672616.710000001</v>
      </c>
      <c r="Z70" s="184"/>
      <c r="AA70" s="33"/>
      <c r="AB70" s="33"/>
      <c r="AC70" s="33"/>
      <c r="AD70" s="33"/>
      <c r="AE70" s="33"/>
      <c r="AF70" s="33"/>
      <c r="AG70" s="33"/>
      <c r="AH70" s="33"/>
      <c r="AI70" s="33"/>
      <c r="AJ70" s="33"/>
      <c r="AK70" s="33"/>
      <c r="AL70" s="33"/>
      <c r="AM70" s="33"/>
      <c r="AN70" s="33"/>
      <c r="AO70" s="33"/>
      <c r="AP70" s="33"/>
      <c r="AQ70" s="33"/>
      <c r="AR70" s="33"/>
      <c r="AS70" s="33"/>
      <c r="AT70" s="33"/>
      <c r="AU70" s="33"/>
      <c r="AV70" s="33"/>
    </row>
    <row r="71" spans="1:48" ht="19.5" thickTop="1" x14ac:dyDescent="0.3">
      <c r="A71" s="188"/>
      <c r="B71" s="188"/>
      <c r="C71" s="188"/>
      <c r="D71" s="188"/>
      <c r="E71" s="188"/>
      <c r="F71" s="188"/>
      <c r="G71" s="188"/>
      <c r="H71" s="188"/>
      <c r="I71" s="188"/>
      <c r="J71" s="188"/>
      <c r="K71" s="188"/>
      <c r="L71" s="188"/>
      <c r="M71" s="188"/>
      <c r="N71" s="188"/>
      <c r="O71" s="170"/>
      <c r="P71" s="170"/>
      <c r="Q71" s="170"/>
      <c r="R71" s="170"/>
      <c r="S71" s="32"/>
      <c r="T71" s="26"/>
      <c r="U71" s="32"/>
      <c r="V71" s="26"/>
      <c r="W71" s="184"/>
      <c r="X71" s="184"/>
      <c r="Y71" s="184"/>
      <c r="Z71" s="184"/>
      <c r="AA71" s="33"/>
      <c r="AB71" s="33"/>
      <c r="AC71" s="33"/>
      <c r="AD71" s="33"/>
      <c r="AE71" s="33"/>
      <c r="AF71" s="33"/>
      <c r="AG71" s="33"/>
      <c r="AH71" s="33"/>
      <c r="AI71" s="33"/>
      <c r="AJ71" s="33"/>
      <c r="AK71" s="33"/>
      <c r="AL71" s="33"/>
      <c r="AM71" s="33"/>
      <c r="AN71" s="33"/>
      <c r="AO71" s="33"/>
      <c r="AP71" s="33"/>
      <c r="AQ71" s="33"/>
      <c r="AR71" s="33"/>
      <c r="AS71" s="33"/>
      <c r="AT71" s="33"/>
      <c r="AU71" s="33"/>
      <c r="AV71" s="33"/>
    </row>
    <row r="72" spans="1:48" ht="18.75" x14ac:dyDescent="0.3">
      <c r="A72" s="188"/>
      <c r="B72" s="188"/>
      <c r="C72" s="188"/>
      <c r="D72" s="188"/>
      <c r="E72" s="188"/>
      <c r="F72" s="188"/>
      <c r="G72" s="188"/>
      <c r="H72" s="188"/>
      <c r="I72" s="188"/>
      <c r="J72" s="188"/>
      <c r="K72" s="188"/>
      <c r="L72" s="188"/>
      <c r="M72" s="188"/>
      <c r="N72" s="188"/>
      <c r="O72" s="170"/>
      <c r="P72" s="32"/>
      <c r="Q72" s="32"/>
      <c r="R72" s="32"/>
      <c r="S72" s="32"/>
      <c r="T72" s="26"/>
      <c r="U72" s="32"/>
      <c r="V72" s="193"/>
      <c r="W72" s="194"/>
      <c r="X72" s="194"/>
      <c r="Y72" s="194"/>
      <c r="Z72" s="184"/>
      <c r="AA72" s="33"/>
      <c r="AB72" s="33"/>
      <c r="AC72" s="33"/>
      <c r="AD72" s="33"/>
      <c r="AE72" s="33"/>
      <c r="AF72" s="33"/>
      <c r="AG72" s="33"/>
      <c r="AH72" s="33"/>
      <c r="AI72" s="33"/>
      <c r="AJ72" s="33"/>
      <c r="AK72" s="33"/>
      <c r="AL72" s="33"/>
      <c r="AM72" s="33"/>
      <c r="AN72" s="33"/>
      <c r="AO72" s="33"/>
      <c r="AP72" s="33"/>
      <c r="AQ72" s="33"/>
      <c r="AR72" s="33"/>
      <c r="AS72" s="33"/>
      <c r="AT72" s="33"/>
      <c r="AU72" s="33"/>
      <c r="AV72" s="33"/>
    </row>
    <row r="73" spans="1:48" ht="18.75" x14ac:dyDescent="0.3">
      <c r="A73" s="188"/>
      <c r="B73" s="188"/>
      <c r="C73" s="188"/>
      <c r="D73" s="188"/>
      <c r="E73" s="188"/>
      <c r="F73" s="188"/>
      <c r="G73" s="188"/>
      <c r="H73" s="188"/>
      <c r="I73" s="188"/>
      <c r="J73" s="188"/>
      <c r="K73" s="188"/>
      <c r="L73" s="188"/>
      <c r="M73" s="188"/>
      <c r="N73" s="188"/>
      <c r="O73" s="170"/>
      <c r="P73" s="32"/>
      <c r="Q73" s="32"/>
      <c r="R73" s="32"/>
      <c r="S73" s="32"/>
      <c r="T73" s="26"/>
      <c r="U73" s="32"/>
      <c r="V73" s="193"/>
      <c r="W73" s="193"/>
      <c r="X73" s="194"/>
      <c r="Y73" s="194">
        <f>+Y70</f>
        <v>15672616.710000001</v>
      </c>
      <c r="Z73" s="184"/>
      <c r="AA73" s="33"/>
      <c r="AB73" s="33"/>
      <c r="AC73" s="33"/>
      <c r="AD73" s="33"/>
      <c r="AE73" s="33"/>
      <c r="AF73" s="33"/>
      <c r="AG73" s="33"/>
      <c r="AH73" s="33"/>
      <c r="AI73" s="33"/>
      <c r="AJ73" s="33"/>
      <c r="AK73" s="33"/>
      <c r="AL73" s="33"/>
      <c r="AM73" s="33"/>
      <c r="AN73" s="33"/>
      <c r="AO73" s="33"/>
      <c r="AP73" s="33"/>
      <c r="AQ73" s="33"/>
      <c r="AR73" s="33"/>
      <c r="AS73" s="33"/>
      <c r="AT73" s="33"/>
      <c r="AU73" s="33"/>
      <c r="AV73" s="33"/>
    </row>
    <row r="74" spans="1:48" ht="18.75" x14ac:dyDescent="0.3">
      <c r="A74" s="188"/>
      <c r="B74" s="188"/>
      <c r="C74" s="188"/>
      <c r="D74" s="188"/>
      <c r="E74" s="188"/>
      <c r="F74" s="188"/>
      <c r="G74" s="188"/>
      <c r="H74" s="188"/>
      <c r="I74" s="188"/>
      <c r="J74" s="188"/>
      <c r="K74" s="188"/>
      <c r="L74" s="188"/>
      <c r="M74" s="188"/>
      <c r="N74" s="188"/>
      <c r="O74" s="170"/>
      <c r="P74" s="32"/>
      <c r="Q74" s="32"/>
      <c r="R74" s="32"/>
      <c r="S74" s="32"/>
      <c r="T74" s="26"/>
      <c r="U74" s="32"/>
      <c r="V74" s="193"/>
      <c r="W74" s="193"/>
      <c r="X74" s="194"/>
      <c r="Y74" s="194">
        <f>+Y56</f>
        <v>18516442.329999998</v>
      </c>
      <c r="Z74" s="184"/>
      <c r="AA74" s="33"/>
      <c r="AB74" s="33"/>
      <c r="AC74" s="33"/>
      <c r="AD74" s="33"/>
      <c r="AE74" s="33"/>
      <c r="AF74" s="33"/>
      <c r="AG74" s="33"/>
      <c r="AH74" s="33"/>
      <c r="AI74" s="33"/>
      <c r="AJ74" s="33"/>
      <c r="AK74" s="33"/>
      <c r="AL74" s="33"/>
      <c r="AM74" s="33"/>
      <c r="AN74" s="33"/>
      <c r="AO74" s="33"/>
      <c r="AP74" s="33"/>
      <c r="AQ74" s="33"/>
      <c r="AR74" s="33"/>
      <c r="AS74" s="33"/>
      <c r="AT74" s="33"/>
      <c r="AU74" s="33"/>
      <c r="AV74" s="33"/>
    </row>
    <row r="75" spans="1:48" ht="19.5" thickBot="1" x14ac:dyDescent="0.35">
      <c r="A75" s="188"/>
      <c r="B75" s="188"/>
      <c r="C75" s="188"/>
      <c r="D75" s="188"/>
      <c r="E75" s="188"/>
      <c r="F75" s="188"/>
      <c r="G75" s="188"/>
      <c r="H75" s="188"/>
      <c r="I75" s="188"/>
      <c r="J75" s="188"/>
      <c r="K75" s="188"/>
      <c r="L75" s="188"/>
      <c r="M75" s="188"/>
      <c r="N75" s="188"/>
      <c r="O75" s="170"/>
      <c r="P75" s="32"/>
      <c r="Q75" s="32"/>
      <c r="R75" s="32"/>
      <c r="S75" s="32"/>
      <c r="T75" s="26"/>
      <c r="U75" s="32"/>
      <c r="V75" s="193"/>
      <c r="W75" s="193"/>
      <c r="X75" s="194" t="s">
        <v>48</v>
      </c>
      <c r="Y75" s="195">
        <f>SUM(Y73:Y74)</f>
        <v>34189059.039999999</v>
      </c>
      <c r="Z75" s="184"/>
      <c r="AA75" s="33"/>
      <c r="AB75" s="33"/>
      <c r="AC75" s="33"/>
      <c r="AD75" s="33"/>
      <c r="AE75" s="33"/>
      <c r="AF75" s="33"/>
      <c r="AG75" s="33"/>
      <c r="AH75" s="33"/>
      <c r="AI75" s="33"/>
      <c r="AJ75" s="33"/>
      <c r="AK75" s="33"/>
      <c r="AL75" s="33"/>
      <c r="AM75" s="33"/>
      <c r="AN75" s="33"/>
      <c r="AO75" s="33"/>
      <c r="AP75" s="33"/>
      <c r="AQ75" s="33"/>
      <c r="AR75" s="33"/>
      <c r="AS75" s="33"/>
      <c r="AT75" s="33"/>
      <c r="AU75" s="33"/>
      <c r="AV75" s="33"/>
    </row>
    <row r="76" spans="1:48" ht="19.5" thickTop="1" x14ac:dyDescent="0.3">
      <c r="A76" s="188"/>
      <c r="B76" s="188"/>
      <c r="C76" s="188"/>
      <c r="D76" s="188"/>
      <c r="E76" s="188"/>
      <c r="F76" s="188"/>
      <c r="G76" s="188"/>
      <c r="H76" s="188"/>
      <c r="I76" s="188"/>
      <c r="J76" s="188"/>
      <c r="K76" s="188"/>
      <c r="L76" s="188"/>
      <c r="M76" s="188"/>
      <c r="N76" s="188"/>
      <c r="O76" s="170"/>
      <c r="P76" s="32"/>
      <c r="Q76" s="32"/>
      <c r="R76" s="32"/>
      <c r="S76" s="32"/>
      <c r="T76" s="26"/>
      <c r="U76" s="32"/>
      <c r="V76" s="193"/>
      <c r="W76" s="193"/>
      <c r="X76" s="194" t="s">
        <v>49</v>
      </c>
      <c r="Y76" s="194" t="e">
        <f>+Y39</f>
        <v>#REF!</v>
      </c>
      <c r="Z76" s="184"/>
      <c r="AA76" s="33"/>
      <c r="AB76" s="33"/>
      <c r="AC76" s="33"/>
      <c r="AD76" s="33"/>
      <c r="AE76" s="33"/>
      <c r="AF76" s="33"/>
      <c r="AG76" s="33"/>
      <c r="AH76" s="33"/>
      <c r="AI76" s="33"/>
      <c r="AJ76" s="33"/>
      <c r="AK76" s="33"/>
      <c r="AL76" s="33"/>
      <c r="AM76" s="33"/>
      <c r="AN76" s="33"/>
      <c r="AO76" s="33"/>
      <c r="AP76" s="33"/>
      <c r="AQ76" s="33"/>
      <c r="AR76" s="33"/>
      <c r="AS76" s="33"/>
      <c r="AT76" s="33"/>
      <c r="AU76" s="33"/>
      <c r="AV76" s="33"/>
    </row>
    <row r="77" spans="1:48" ht="18.75" x14ac:dyDescent="0.3">
      <c r="A77" s="188"/>
      <c r="B77" s="188"/>
      <c r="C77" s="188"/>
      <c r="D77" s="188"/>
      <c r="E77" s="188"/>
      <c r="F77" s="188"/>
      <c r="G77" s="188"/>
      <c r="H77" s="188"/>
      <c r="I77" s="188"/>
      <c r="J77" s="188"/>
      <c r="K77" s="188"/>
      <c r="L77" s="188"/>
      <c r="M77" s="188"/>
      <c r="N77" s="188"/>
      <c r="O77" s="170"/>
      <c r="P77" s="32"/>
      <c r="Q77" s="32"/>
      <c r="R77" s="32"/>
      <c r="S77" s="32"/>
      <c r="T77" s="26"/>
      <c r="U77" s="32"/>
      <c r="V77" s="26"/>
      <c r="W77" s="26"/>
      <c r="X77" s="184"/>
      <c r="Y77" s="184" t="e">
        <f>+Y75-Y76</f>
        <v>#REF!</v>
      </c>
      <c r="Z77" s="184"/>
      <c r="AA77" s="33"/>
      <c r="AB77" s="33"/>
      <c r="AC77" s="33"/>
      <c r="AD77" s="33"/>
      <c r="AE77" s="33"/>
      <c r="AF77" s="33"/>
      <c r="AG77" s="33"/>
      <c r="AH77" s="33"/>
      <c r="AI77" s="33"/>
      <c r="AJ77" s="33"/>
      <c r="AK77" s="33"/>
      <c r="AL77" s="33"/>
      <c r="AM77" s="33"/>
      <c r="AN77" s="33"/>
      <c r="AO77" s="33"/>
      <c r="AP77" s="33"/>
      <c r="AQ77" s="33"/>
      <c r="AR77" s="33"/>
      <c r="AS77" s="33"/>
      <c r="AT77" s="33"/>
      <c r="AU77" s="33"/>
      <c r="AV77" s="33"/>
    </row>
    <row r="78" spans="1:48" ht="18.75" x14ac:dyDescent="0.3">
      <c r="A78" s="188"/>
      <c r="B78" s="188"/>
      <c r="C78" s="188"/>
      <c r="D78" s="188"/>
      <c r="E78" s="188"/>
      <c r="F78" s="188"/>
      <c r="G78" s="188"/>
      <c r="H78" s="188"/>
      <c r="I78" s="188"/>
      <c r="J78" s="188"/>
      <c r="K78" s="188"/>
      <c r="L78" s="188"/>
      <c r="M78" s="188"/>
      <c r="N78" s="188"/>
      <c r="O78" s="170"/>
      <c r="P78" s="32"/>
      <c r="Q78" s="32"/>
      <c r="R78" s="32"/>
      <c r="S78" s="32"/>
      <c r="T78" s="26"/>
      <c r="U78" s="32"/>
      <c r="V78" s="26"/>
      <c r="W78" s="26"/>
      <c r="X78" s="184"/>
      <c r="Y78" s="184"/>
      <c r="Z78" s="184"/>
      <c r="AA78" s="33"/>
      <c r="AB78" s="33"/>
      <c r="AC78" s="33"/>
      <c r="AD78" s="33"/>
      <c r="AE78" s="33"/>
      <c r="AF78" s="33"/>
      <c r="AG78" s="33"/>
      <c r="AH78" s="33"/>
      <c r="AI78" s="33"/>
      <c r="AJ78" s="33"/>
      <c r="AK78" s="33"/>
      <c r="AL78" s="33"/>
      <c r="AM78" s="33"/>
      <c r="AN78" s="33"/>
      <c r="AO78" s="33"/>
      <c r="AP78" s="33"/>
      <c r="AQ78" s="33"/>
      <c r="AR78" s="33"/>
      <c r="AS78" s="33"/>
      <c r="AT78" s="33"/>
      <c r="AU78" s="33"/>
      <c r="AV78" s="33"/>
    </row>
    <row r="79" spans="1:48" ht="15.75" x14ac:dyDescent="0.25">
      <c r="A79" s="188"/>
      <c r="B79" s="188"/>
      <c r="C79" s="188"/>
      <c r="D79" s="188"/>
      <c r="E79" s="188"/>
      <c r="F79" s="188"/>
      <c r="G79" s="188"/>
      <c r="H79" s="188"/>
      <c r="I79" s="188"/>
      <c r="J79" s="188"/>
      <c r="K79" s="188"/>
      <c r="L79" s="188"/>
      <c r="M79" s="188"/>
      <c r="N79" s="188"/>
      <c r="O79" s="188"/>
      <c r="P79" s="188"/>
      <c r="Q79" s="188"/>
      <c r="R79" s="188"/>
      <c r="S79" s="188"/>
      <c r="T79" s="188"/>
      <c r="U79" s="188"/>
      <c r="V79" s="188"/>
      <c r="W79" s="188"/>
      <c r="X79" s="196"/>
      <c r="Y79" s="65"/>
      <c r="Z79" s="196"/>
    </row>
    <row r="80" spans="1:48" ht="15.75" x14ac:dyDescent="0.25">
      <c r="A80" s="188"/>
      <c r="B80" s="188"/>
      <c r="C80" s="188"/>
      <c r="D80" s="188"/>
      <c r="E80" s="188"/>
      <c r="F80" s="188"/>
      <c r="G80" s="188"/>
      <c r="H80" s="188"/>
      <c r="I80" s="188"/>
      <c r="J80" s="188"/>
      <c r="K80" s="188"/>
      <c r="L80" s="188"/>
      <c r="M80" s="188"/>
      <c r="N80" s="188"/>
      <c r="O80" s="188"/>
      <c r="P80" s="188"/>
      <c r="Q80" s="188"/>
      <c r="R80" s="188"/>
      <c r="S80" s="188"/>
      <c r="T80" s="188"/>
      <c r="U80" s="188"/>
      <c r="V80" s="188"/>
      <c r="W80" s="188"/>
      <c r="X80" s="196"/>
      <c r="Y80" s="196"/>
      <c r="Z80" s="196"/>
    </row>
    <row r="81" spans="1:26" ht="16.5" thickBot="1" x14ac:dyDescent="0.3">
      <c r="A81" s="188"/>
      <c r="B81" s="188"/>
      <c r="C81" s="188"/>
      <c r="D81" s="188"/>
      <c r="E81" s="188"/>
      <c r="F81" s="188"/>
      <c r="G81" s="188"/>
      <c r="H81" s="188"/>
      <c r="I81" s="188"/>
      <c r="J81" s="188"/>
      <c r="K81" s="188"/>
      <c r="L81" s="188"/>
      <c r="M81" s="188"/>
      <c r="N81" s="188"/>
      <c r="O81" s="188"/>
      <c r="P81" s="188"/>
      <c r="Q81" s="188"/>
      <c r="R81" s="188"/>
      <c r="S81" s="188"/>
      <c r="T81" s="188"/>
      <c r="U81" s="188"/>
      <c r="V81" s="188"/>
      <c r="W81" s="188"/>
      <c r="X81" s="196"/>
      <c r="Y81" s="196"/>
      <c r="Z81" s="196"/>
    </row>
    <row r="82" spans="1:26" ht="79.5" thickBot="1" x14ac:dyDescent="0.3">
      <c r="A82" s="116" t="s">
        <v>50</v>
      </c>
      <c r="B82" s="197" t="s">
        <v>51</v>
      </c>
      <c r="C82" s="197" t="s">
        <v>52</v>
      </c>
      <c r="D82" s="197" t="s">
        <v>53</v>
      </c>
      <c r="E82" s="197" t="s">
        <v>54</v>
      </c>
      <c r="F82" s="197" t="s">
        <v>55</v>
      </c>
      <c r="G82" s="197" t="s">
        <v>56</v>
      </c>
      <c r="H82" s="197" t="s">
        <v>57</v>
      </c>
      <c r="I82" s="197" t="s">
        <v>58</v>
      </c>
      <c r="J82" s="197" t="s">
        <v>59</v>
      </c>
      <c r="K82" s="80" t="s">
        <v>22</v>
      </c>
      <c r="L82" s="170"/>
      <c r="M82" s="32"/>
      <c r="N82" s="154"/>
      <c r="O82" s="188"/>
      <c r="P82" s="188"/>
      <c r="Q82" s="188"/>
      <c r="R82" s="188"/>
      <c r="S82" s="188"/>
      <c r="T82" s="188"/>
      <c r="U82" s="188"/>
      <c r="V82" s="188"/>
      <c r="W82" s="188"/>
      <c r="X82" s="196"/>
      <c r="Y82" s="196"/>
      <c r="Z82" s="196"/>
    </row>
    <row r="83" spans="1:26" ht="15.75" x14ac:dyDescent="0.25">
      <c r="A83" s="117" t="s">
        <v>60</v>
      </c>
      <c r="B83" s="198">
        <f>D99+D100</f>
        <v>0</v>
      </c>
      <c r="C83" s="198">
        <f>O99+O100</f>
        <v>0</v>
      </c>
      <c r="D83" s="198">
        <v>0</v>
      </c>
      <c r="E83" s="198">
        <v>0</v>
      </c>
      <c r="F83" s="198">
        <f>-K99-K100</f>
        <v>0</v>
      </c>
      <c r="G83" s="198">
        <f>B83+C83+D83-E83-F83</f>
        <v>0</v>
      </c>
      <c r="H83" s="198">
        <v>0</v>
      </c>
      <c r="I83" s="198">
        <v>0</v>
      </c>
      <c r="J83" s="199">
        <f>G83-H83+I83</f>
        <v>0</v>
      </c>
      <c r="K83" s="171" t="s">
        <v>61</v>
      </c>
      <c r="L83" s="170"/>
      <c r="M83" s="170"/>
      <c r="N83" s="167"/>
      <c r="O83" s="188"/>
      <c r="P83" s="188"/>
      <c r="Q83" s="188"/>
      <c r="R83" s="188"/>
      <c r="S83" s="188"/>
      <c r="T83" s="188"/>
      <c r="U83" s="188"/>
      <c r="V83" s="188"/>
      <c r="W83" s="188"/>
      <c r="X83" s="196"/>
      <c r="Y83" s="196"/>
      <c r="Z83" s="196"/>
    </row>
    <row r="84" spans="1:26" ht="15.75" x14ac:dyDescent="0.25">
      <c r="A84" s="75"/>
      <c r="B84" s="200"/>
      <c r="C84" s="200"/>
      <c r="D84" s="200"/>
      <c r="E84" s="200"/>
      <c r="F84" s="200"/>
      <c r="G84" s="200" t="s">
        <v>22</v>
      </c>
      <c r="H84" s="200" t="s">
        <v>22</v>
      </c>
      <c r="I84" s="200"/>
      <c r="J84" s="201"/>
      <c r="K84" s="171"/>
      <c r="L84" s="170" t="s">
        <v>62</v>
      </c>
      <c r="M84" s="170">
        <v>11690963.15</v>
      </c>
      <c r="N84" s="170"/>
      <c r="O84" s="188"/>
      <c r="P84" s="188"/>
      <c r="Q84" s="188"/>
      <c r="R84" s="188"/>
      <c r="S84" s="188"/>
      <c r="T84" s="188"/>
      <c r="U84" s="188"/>
      <c r="V84" s="188"/>
      <c r="W84" s="188"/>
      <c r="X84" s="196"/>
      <c r="Y84" s="196"/>
      <c r="Z84" s="196"/>
    </row>
    <row r="85" spans="1:26" ht="15.75" x14ac:dyDescent="0.25">
      <c r="A85" s="75" t="s">
        <v>63</v>
      </c>
      <c r="B85" s="200">
        <f>D103+D104</f>
        <v>0</v>
      </c>
      <c r="C85" s="200">
        <f>O103+O104</f>
        <v>0</v>
      </c>
      <c r="D85" s="200">
        <f>J103</f>
        <v>0</v>
      </c>
      <c r="E85" s="200">
        <f>-F103</f>
        <v>0</v>
      </c>
      <c r="F85" s="200">
        <f>K103+K104</f>
        <v>0</v>
      </c>
      <c r="G85" s="200">
        <f>B85+C85+D85-E85-F85</f>
        <v>0</v>
      </c>
      <c r="H85" s="200">
        <v>0</v>
      </c>
      <c r="I85" s="200">
        <v>0</v>
      </c>
      <c r="J85" s="201">
        <f>G85-H85+I85</f>
        <v>0</v>
      </c>
      <c r="K85" s="171" t="s">
        <v>22</v>
      </c>
      <c r="L85" s="170" t="s">
        <v>64</v>
      </c>
      <c r="M85" s="170">
        <v>-1341441.23</v>
      </c>
      <c r="N85" s="170"/>
      <c r="O85" s="188"/>
      <c r="P85" s="188"/>
      <c r="Q85" s="188"/>
      <c r="R85" s="188"/>
      <c r="S85" s="188"/>
      <c r="T85" s="188"/>
      <c r="U85" s="188"/>
      <c r="V85" s="188"/>
      <c r="W85" s="188"/>
      <c r="X85" s="196"/>
      <c r="Y85" s="196"/>
      <c r="Z85" s="196"/>
    </row>
    <row r="86" spans="1:26" ht="15.75" x14ac:dyDescent="0.25">
      <c r="A86" s="75"/>
      <c r="B86" s="200">
        <f>D106</f>
        <v>0</v>
      </c>
      <c r="C86" s="200" t="s">
        <v>22</v>
      </c>
      <c r="D86" s="201"/>
      <c r="E86" s="201"/>
      <c r="F86" s="201"/>
      <c r="G86" s="200" t="s">
        <v>22</v>
      </c>
      <c r="H86" s="201" t="s">
        <v>22</v>
      </c>
      <c r="I86" s="200" t="s">
        <v>22</v>
      </c>
      <c r="J86" s="201" t="s">
        <v>22</v>
      </c>
      <c r="K86" s="171" t="s">
        <v>22</v>
      </c>
      <c r="L86" s="170" t="s">
        <v>65</v>
      </c>
      <c r="M86" s="170"/>
      <c r="N86" s="170"/>
      <c r="O86" s="188"/>
      <c r="P86" s="188"/>
      <c r="Q86" s="188"/>
      <c r="R86" s="188"/>
      <c r="S86" s="188"/>
      <c r="T86" s="188"/>
      <c r="U86" s="188"/>
      <c r="V86" s="188"/>
      <c r="W86" s="188"/>
      <c r="X86" s="196"/>
      <c r="Y86" s="196"/>
      <c r="Z86" s="196"/>
    </row>
    <row r="87" spans="1:26" ht="15.75" x14ac:dyDescent="0.25">
      <c r="A87" s="75" t="s">
        <v>66</v>
      </c>
      <c r="B87" s="200">
        <f>D107+D108</f>
        <v>0</v>
      </c>
      <c r="C87" s="200">
        <f>O107</f>
        <v>0</v>
      </c>
      <c r="D87" s="200">
        <v>0</v>
      </c>
      <c r="E87" s="200" t="s">
        <v>22</v>
      </c>
      <c r="F87" s="200">
        <f>K107+K108</f>
        <v>0</v>
      </c>
      <c r="G87" s="200" t="e">
        <f>B87+C87+D87-E87-F87</f>
        <v>#VALUE!</v>
      </c>
      <c r="H87" s="200">
        <v>0</v>
      </c>
      <c r="I87" s="200">
        <v>0</v>
      </c>
      <c r="J87" s="201" t="e">
        <f>G87-H87+I87</f>
        <v>#VALUE!</v>
      </c>
      <c r="K87" s="171" t="s">
        <v>22</v>
      </c>
      <c r="L87" s="170" t="s">
        <v>67</v>
      </c>
      <c r="M87" s="170">
        <f>M84+M85</f>
        <v>10349521.92</v>
      </c>
      <c r="N87" s="170"/>
      <c r="O87" s="188"/>
      <c r="P87" s="188"/>
      <c r="Q87" s="188"/>
      <c r="R87" s="188"/>
      <c r="S87" s="188"/>
      <c r="T87" s="188"/>
      <c r="U87" s="188"/>
      <c r="V87" s="188"/>
      <c r="W87" s="188"/>
      <c r="X87" s="196"/>
      <c r="Y87" s="196"/>
      <c r="Z87" s="196"/>
    </row>
    <row r="88" spans="1:26" ht="15.75" x14ac:dyDescent="0.25">
      <c r="A88" s="75"/>
      <c r="B88" s="200"/>
      <c r="C88" s="200"/>
      <c r="D88" s="201"/>
      <c r="E88" s="201" t="s">
        <v>22</v>
      </c>
      <c r="F88" s="201"/>
      <c r="G88" s="200" t="s">
        <v>22</v>
      </c>
      <c r="H88" s="201" t="s">
        <v>22</v>
      </c>
      <c r="I88" s="200" t="s">
        <v>22</v>
      </c>
      <c r="J88" s="201"/>
      <c r="K88" s="171" t="s">
        <v>22</v>
      </c>
      <c r="L88" s="170" t="s">
        <v>68</v>
      </c>
      <c r="M88" s="202">
        <v>1.6400000000000001E-2</v>
      </c>
      <c r="N88" s="170"/>
      <c r="O88" s="188"/>
      <c r="P88" s="188"/>
      <c r="Q88" s="188"/>
      <c r="R88" s="188"/>
      <c r="S88" s="188"/>
      <c r="T88" s="188"/>
      <c r="U88" s="188"/>
      <c r="V88" s="188"/>
      <c r="W88" s="188"/>
      <c r="X88" s="196"/>
      <c r="Y88" s="196"/>
      <c r="Z88" s="196"/>
    </row>
    <row r="89" spans="1:26" ht="15.75" x14ac:dyDescent="0.25">
      <c r="A89" s="75" t="s">
        <v>69</v>
      </c>
      <c r="B89" s="200">
        <f>D112+D113</f>
        <v>0</v>
      </c>
      <c r="C89" s="200">
        <f>O112+O113</f>
        <v>0</v>
      </c>
      <c r="D89" s="200">
        <f>E112+E113+G112</f>
        <v>0</v>
      </c>
      <c r="E89" s="200">
        <v>0</v>
      </c>
      <c r="F89" s="200">
        <f>K112+K113</f>
        <v>0</v>
      </c>
      <c r="G89" s="200">
        <f>B89+C89+D89-E89-F89</f>
        <v>0</v>
      </c>
      <c r="H89" s="200">
        <f>L112</f>
        <v>0</v>
      </c>
      <c r="I89" s="200">
        <f>M91</f>
        <v>55337.334189238361</v>
      </c>
      <c r="J89" s="201">
        <f>G89-H89+I89</f>
        <v>55337.334189238361</v>
      </c>
      <c r="K89" s="171" t="s">
        <v>22</v>
      </c>
      <c r="L89" s="170" t="s">
        <v>70</v>
      </c>
      <c r="M89" s="170"/>
      <c r="N89" s="170"/>
      <c r="O89" s="188"/>
      <c r="P89" s="188"/>
      <c r="Q89" s="188"/>
      <c r="R89" s="188"/>
      <c r="S89" s="188"/>
      <c r="T89" s="188"/>
      <c r="U89" s="188"/>
      <c r="V89" s="188"/>
      <c r="W89" s="188"/>
      <c r="X89" s="196"/>
      <c r="Y89" s="196"/>
      <c r="Z89" s="196"/>
    </row>
    <row r="90" spans="1:26" ht="15.75" x14ac:dyDescent="0.25">
      <c r="A90" s="75" t="s">
        <v>22</v>
      </c>
      <c r="B90" s="200" t="s">
        <v>22</v>
      </c>
      <c r="C90" s="200" t="s">
        <v>22</v>
      </c>
      <c r="D90" s="201"/>
      <c r="E90" s="201" t="s">
        <v>22</v>
      </c>
      <c r="F90" s="201"/>
      <c r="G90" s="200" t="s">
        <v>22</v>
      </c>
      <c r="H90" s="200" t="s">
        <v>22</v>
      </c>
      <c r="I90" s="200" t="s">
        <v>22</v>
      </c>
      <c r="J90" s="201" t="s">
        <v>22</v>
      </c>
      <c r="K90" s="171" t="s">
        <v>22</v>
      </c>
      <c r="L90" s="170" t="s">
        <v>71</v>
      </c>
      <c r="M90" s="170">
        <v>119</v>
      </c>
      <c r="N90" s="170"/>
      <c r="O90" s="188"/>
      <c r="P90" s="188"/>
      <c r="Q90" s="188"/>
      <c r="R90" s="188"/>
      <c r="S90" s="188"/>
      <c r="T90" s="188"/>
      <c r="U90" s="188"/>
      <c r="V90" s="188"/>
      <c r="W90" s="188"/>
      <c r="X90" s="196"/>
      <c r="Y90" s="196"/>
      <c r="Z90" s="196"/>
    </row>
    <row r="91" spans="1:26" ht="15.75" x14ac:dyDescent="0.25">
      <c r="A91" s="75" t="s">
        <v>72</v>
      </c>
      <c r="B91" s="200">
        <v>0</v>
      </c>
      <c r="C91" s="200">
        <v>0</v>
      </c>
      <c r="D91" s="201" t="s">
        <v>22</v>
      </c>
      <c r="E91" s="200"/>
      <c r="F91" s="201">
        <v>0</v>
      </c>
      <c r="G91" s="200">
        <v>0</v>
      </c>
      <c r="H91" s="201">
        <v>0</v>
      </c>
      <c r="I91" s="200">
        <v>0</v>
      </c>
      <c r="J91" s="201">
        <f>G91-H91+I91</f>
        <v>0</v>
      </c>
      <c r="K91" s="171"/>
      <c r="L91" s="170"/>
      <c r="M91" s="170">
        <f>M87*M88*M90/365</f>
        <v>55337.334189238361</v>
      </c>
      <c r="N91" s="170"/>
      <c r="O91" s="188"/>
      <c r="P91" s="188"/>
      <c r="Q91" s="188"/>
      <c r="R91" s="188"/>
      <c r="S91" s="188"/>
      <c r="T91" s="188"/>
      <c r="U91" s="188"/>
      <c r="V91" s="188"/>
      <c r="W91" s="188"/>
      <c r="X91" s="196"/>
      <c r="Y91" s="196"/>
      <c r="Z91" s="196"/>
    </row>
    <row r="92" spans="1:26" ht="15.75" x14ac:dyDescent="0.25">
      <c r="A92" s="188"/>
      <c r="B92" s="188"/>
      <c r="C92" s="188"/>
      <c r="D92" s="188"/>
      <c r="E92" s="188"/>
      <c r="F92" s="188"/>
      <c r="G92" s="188"/>
      <c r="H92" s="188"/>
      <c r="I92" s="188"/>
      <c r="J92" s="188"/>
      <c r="K92" s="188"/>
      <c r="L92" s="188"/>
      <c r="M92" s="188"/>
      <c r="N92" s="188"/>
      <c r="O92" s="188"/>
      <c r="P92" s="188"/>
      <c r="Q92" s="188"/>
      <c r="R92" s="188"/>
      <c r="S92" s="188"/>
      <c r="T92" s="188"/>
      <c r="U92" s="188"/>
      <c r="V92" s="188"/>
      <c r="W92" s="188"/>
      <c r="X92" s="196"/>
      <c r="Y92" s="196"/>
      <c r="Z92" s="196"/>
    </row>
    <row r="93" spans="1:26" ht="15.75" x14ac:dyDescent="0.25">
      <c r="A93" s="188"/>
      <c r="B93" s="188"/>
      <c r="C93" s="188"/>
      <c r="D93" s="188"/>
      <c r="E93" s="188"/>
      <c r="F93" s="188"/>
      <c r="G93" s="188"/>
      <c r="H93" s="188"/>
      <c r="I93" s="188"/>
      <c r="J93" s="188"/>
      <c r="K93" s="188"/>
      <c r="L93" s="188"/>
      <c r="M93" s="188"/>
      <c r="N93" s="188"/>
      <c r="O93" s="188"/>
      <c r="P93" s="188"/>
      <c r="Q93" s="188"/>
      <c r="R93" s="188"/>
      <c r="S93" s="188"/>
      <c r="T93" s="188"/>
      <c r="U93" s="188"/>
      <c r="V93" s="188"/>
      <c r="W93" s="188"/>
      <c r="X93" s="196"/>
      <c r="Y93" s="196"/>
      <c r="Z93" s="196"/>
    </row>
    <row r="94" spans="1:26" ht="15.75" x14ac:dyDescent="0.25">
      <c r="A94" s="188"/>
      <c r="B94" s="188"/>
      <c r="C94" s="188"/>
      <c r="D94" s="188"/>
      <c r="E94" s="188"/>
      <c r="F94" s="188"/>
      <c r="G94" s="188"/>
      <c r="H94" s="188"/>
      <c r="I94" s="188"/>
      <c r="J94" s="188"/>
      <c r="K94" s="188"/>
      <c r="L94" s="188"/>
      <c r="M94" s="188"/>
      <c r="N94" s="188"/>
      <c r="O94" s="188"/>
      <c r="P94" s="188"/>
      <c r="Q94" s="188"/>
      <c r="R94" s="188"/>
      <c r="S94" s="188"/>
      <c r="T94" s="188"/>
      <c r="U94" s="188"/>
      <c r="V94" s="188"/>
      <c r="W94" s="188"/>
      <c r="X94" s="196"/>
      <c r="Y94" s="196"/>
      <c r="Z94" s="196"/>
    </row>
    <row r="95" spans="1:26" x14ac:dyDescent="0.2">
      <c r="X95" s="203"/>
      <c r="Y95" s="203"/>
      <c r="Z95" s="203"/>
    </row>
    <row r="96" spans="1:26" x14ac:dyDescent="0.2">
      <c r="X96" s="203"/>
      <c r="Y96" s="203"/>
      <c r="Z96" s="203"/>
    </row>
  </sheetData>
  <pageMargins left="0.82" right="0.66" top="1" bottom="1" header="0.5" footer="0.25"/>
  <pageSetup scale="72" orientation="portrait" r:id="rId1"/>
  <headerFooter alignWithMargins="0">
    <oddHeader>&amp;RExhibit B</oddHead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8</vt:i4>
      </vt:variant>
    </vt:vector>
  </HeadingPairs>
  <TitlesOfParts>
    <vt:vector size="17" baseType="lpstr">
      <vt:lpstr>Fund Balance</vt:lpstr>
      <vt:lpstr>Rev &amp; Exp Summary</vt:lpstr>
      <vt:lpstr>Fund Balance (2)</vt:lpstr>
      <vt:lpstr>FY25 - Unrestricted Fund</vt:lpstr>
      <vt:lpstr>FY23 - Auxiliary Fund</vt:lpstr>
      <vt:lpstr>FY22 - R&amp;R</vt:lpstr>
      <vt:lpstr>FY22 - Restricted Fund</vt:lpstr>
      <vt:lpstr>Plant Detail</vt:lpstr>
      <vt:lpstr>FY17 - Auxiliary</vt:lpstr>
      <vt:lpstr>'Fund Balance (2)'!Print_Area</vt:lpstr>
      <vt:lpstr>'FY17 - Auxiliary'!Print_Area</vt:lpstr>
      <vt:lpstr>'FY22 - R&amp;R'!Print_Area</vt:lpstr>
      <vt:lpstr>'FY22 - Restricted Fund'!Print_Area</vt:lpstr>
      <vt:lpstr>'FY23 - Auxiliary Fund'!Print_Area</vt:lpstr>
      <vt:lpstr>'FY25 - Unrestricted Fund'!Print_Area</vt:lpstr>
      <vt:lpstr>'Plant Detail'!Print_Area</vt:lpstr>
      <vt:lpstr>'Rev &amp; Exp Summary'!Print_Area</vt:lpstr>
    </vt:vector>
  </TitlesOfParts>
  <Company>South Texas College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mnespino</dc:creator>
  <cp:lastModifiedBy>Brenda J Lopez</cp:lastModifiedBy>
  <cp:lastPrinted>2023-08-28T17:24:31Z</cp:lastPrinted>
  <dcterms:created xsi:type="dcterms:W3CDTF">2010-03-03T21:36:56Z</dcterms:created>
  <dcterms:modified xsi:type="dcterms:W3CDTF">2025-10-24T15:22:58Z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