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alinas_8202\Desktop\"/>
    </mc:Choice>
  </mc:AlternateContent>
  <xr:revisionPtr revIDLastSave="0" documentId="8_{4FE83359-557B-46C2-BAD5-0B0979D3D3CE}" xr6:coauthVersionLast="47" xr6:coauthVersionMax="47" xr10:uidLastSave="{00000000-0000-0000-0000-000000000000}"/>
  <bookViews>
    <workbookView xWindow="28680" yWindow="-120" windowWidth="29040" windowHeight="15840" tabRatio="776" firstSheet="2" activeTab="2" xr2:uid="{00000000-000D-0000-FFFF-FFFF00000000}"/>
  </bookViews>
  <sheets>
    <sheet name="23,259 Students FY 2010 DE" sheetId="56" state="hidden" r:id="rId1"/>
    <sheet name="23,259 Students FY 2010 " sheetId="50" state="hidden" r:id="rId2"/>
    <sheet name="Summary" sheetId="67" r:id="rId3"/>
    <sheet name="Graph" sheetId="53" r:id="rId4"/>
    <sheet name="Graph Compare" sheetId="46" r:id="rId5"/>
    <sheet name="Rev Summ" sheetId="5" r:id="rId6"/>
    <sheet name="Exp by Function" sheetId="62" r:id="rId7"/>
    <sheet name="Comparison-Function" sheetId="63" r:id="rId8"/>
    <sheet name="Exp by Classification" sheetId="64" r:id="rId9"/>
    <sheet name="Comparison-Classfication" sheetId="65" r:id="rId10"/>
    <sheet name="Exp Summary" sheetId="66" r:id="rId11"/>
    <sheet name="Capital" sheetId="68" r:id="rId12"/>
    <sheet name="Auxiliary" sheetId="69" r:id="rId13"/>
    <sheet name="Restricted" sheetId="70" r:id="rId14"/>
    <sheet name="Endowment" sheetId="71" r:id="rId15"/>
    <sheet name="Plant-Regular" sheetId="72" r:id="rId16"/>
    <sheet name="Section 140.0045" sheetId="73" r:id="rId17"/>
    <sheet name="tpeg brkdown" sheetId="58" state="hidden" r:id="rId18"/>
    <sheet name="Methodology" sheetId="61" state="hidden" r:id="rId19"/>
    <sheet name="Rev Summ (2)" sheetId="55" state="hidden" r:id="rId20"/>
  </sheets>
  <externalReferences>
    <externalReference r:id="rId21"/>
  </externalReferences>
  <definedNames>
    <definedName name="nereida">#N/A</definedName>
    <definedName name="_xlnm.Print_Area" localSheetId="1">'23,259 Students FY 2010 '!$A$1:$S$70</definedName>
    <definedName name="_xlnm.Print_Area" localSheetId="0">'23,259 Students FY 2010 DE'!$A$1:$S$70</definedName>
    <definedName name="_xlnm.Print_Area" localSheetId="12">Auxiliary!$A$1:$G$27</definedName>
    <definedName name="_xlnm.Print_Area" localSheetId="11">Capital!$A$1:$E$39</definedName>
    <definedName name="_xlnm.Print_Area" localSheetId="9">'Comparison-Classfication'!$A$1:$J$52</definedName>
    <definedName name="_xlnm.Print_Area" localSheetId="7">'Comparison-Function'!$A$1:$J$54</definedName>
    <definedName name="_xlnm.Print_Area" localSheetId="14">Endowment!$A$1:$G$27</definedName>
    <definedName name="_xlnm.Print_Area" localSheetId="8">'Exp by Classification'!$A$1:$F$46</definedName>
    <definedName name="_xlnm.Print_Area" localSheetId="6">'Exp by Function'!$A$1:$F$47</definedName>
    <definedName name="_xlnm.Print_Area" localSheetId="10">'Exp Summary'!$A$1:$AA$51</definedName>
    <definedName name="_xlnm.Print_Area" localSheetId="3">Graph!$A$1:$F$47</definedName>
    <definedName name="_xlnm.Print_Area" localSheetId="4">'Graph Compare'!$A$1:$J$51</definedName>
    <definedName name="_xlnm.Print_Area" localSheetId="18">#REF!</definedName>
    <definedName name="_xlnm.Print_Area" localSheetId="15">'Plant-Regular'!$A$1:$E$35</definedName>
    <definedName name="_xlnm.Print_Area" localSheetId="13">Restricted!$B$1:$H$28</definedName>
    <definedName name="_xlnm.Print_Area" localSheetId="5">'Rev Summ'!$A$1:$K$45</definedName>
    <definedName name="_xlnm.Print_Area" localSheetId="19">'Rev Summ (2)'!$A$1:$F$59</definedName>
    <definedName name="_xlnm.Print_Area" localSheetId="16">'Section 140.0045'!$A$1:$O$21</definedName>
    <definedName name="_xlnm.Print_Area" localSheetId="2">Summary!$A$1:$E$25</definedName>
    <definedName name="_xlnm.Print_Area" localSheetId="17">'tpeg brkdown'!#REF!</definedName>
    <definedName name="_xlnm.Print_Area">#REF!</definedName>
    <definedName name="_xlnm.Print_Titles" localSheetId="12">Auxiliary!$1:$10</definedName>
    <definedName name="_xlnm.Print_Titles" localSheetId="14">Endowment!$1:$10</definedName>
    <definedName name="_xlnm.Print_Titles" localSheetId="13">Restricted!$1:$10</definedName>
    <definedName name="_xlnm.Print_Titles" localSheetId="16">'Section 140.0045'!$A:$B</definedName>
    <definedName name="_xlnm.Print_Titles">#N/A</definedName>
    <definedName name="Tuition">'[1]Proj Rev &amp; Expend'!$A$1:$Q$136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3" l="1"/>
  <c r="C14" i="73"/>
  <c r="E14" i="72" l="1"/>
  <c r="E12" i="72"/>
  <c r="E10" i="72"/>
  <c r="E37" i="68" l="1"/>
  <c r="E32" i="68"/>
  <c r="E27" i="68"/>
  <c r="E20" i="68"/>
  <c r="E20" i="67" l="1"/>
  <c r="E18" i="67"/>
  <c r="F74" i="63"/>
  <c r="F73" i="63"/>
  <c r="F72" i="63"/>
  <c r="D52" i="62"/>
  <c r="F65" i="65"/>
  <c r="F60" i="65"/>
  <c r="F56" i="65"/>
  <c r="F70" i="65"/>
  <c r="F69" i="65"/>
  <c r="F61" i="65"/>
  <c r="F59" i="65"/>
  <c r="F58" i="65"/>
  <c r="F57" i="65"/>
  <c r="D52" i="64"/>
  <c r="D45" i="64"/>
  <c r="D58" i="64"/>
  <c r="D57" i="64"/>
  <c r="F69" i="63"/>
  <c r="F65" i="63"/>
  <c r="F60" i="63"/>
  <c r="F59" i="63"/>
  <c r="F75" i="63"/>
  <c r="F64" i="63"/>
  <c r="F63" i="63"/>
  <c r="F62" i="63"/>
  <c r="F61" i="63"/>
  <c r="D56" i="62"/>
  <c r="D54" i="62"/>
  <c r="D50" i="62"/>
  <c r="D53" i="62" l="1"/>
  <c r="D55" i="64"/>
  <c r="D55" i="62"/>
  <c r="F67" i="65"/>
  <c r="F71" i="63"/>
  <c r="D54" i="64"/>
  <c r="F70" i="63"/>
  <c r="D51" i="62"/>
  <c r="F66" i="65"/>
  <c r="D47" i="64"/>
  <c r="D57" i="62"/>
  <c r="F76" i="63"/>
  <c r="F66" i="63"/>
  <c r="H64" i="63" s="1"/>
  <c r="J64" i="63" s="1"/>
  <c r="H63" i="63"/>
  <c r="J63" i="63" s="1"/>
  <c r="F68" i="65"/>
  <c r="D56" i="64"/>
  <c r="D60" i="64" l="1"/>
  <c r="H61" i="63"/>
  <c r="J61" i="63" s="1"/>
  <c r="H67" i="65"/>
  <c r="J67" i="65" s="1"/>
  <c r="H65" i="63"/>
  <c r="J65" i="63" s="1"/>
  <c r="F71" i="65"/>
  <c r="F52" i="62"/>
  <c r="H71" i="63"/>
  <c r="H60" i="63"/>
  <c r="F62" i="65"/>
  <c r="H69" i="65"/>
  <c r="J69" i="65" s="1"/>
  <c r="H62" i="63"/>
  <c r="J62" i="63" s="1"/>
  <c r="F53" i="62"/>
  <c r="H72" i="63"/>
  <c r="H68" i="65"/>
  <c r="J68" i="65" s="1"/>
  <c r="F51" i="62"/>
  <c r="F56" i="62"/>
  <c r="H75" i="63"/>
  <c r="H70" i="65"/>
  <c r="J70" i="65" s="1"/>
  <c r="H74" i="63"/>
  <c r="F55" i="62"/>
  <c r="F54" i="62"/>
  <c r="H73" i="63"/>
  <c r="F57" i="62" l="1"/>
  <c r="H76" i="63"/>
  <c r="F54" i="64"/>
  <c r="H70" i="63"/>
  <c r="H58" i="65"/>
  <c r="H61" i="65"/>
  <c r="H60" i="65"/>
  <c r="H59" i="65"/>
  <c r="H57" i="65"/>
  <c r="F55" i="64"/>
  <c r="F56" i="64"/>
  <c r="H66" i="65"/>
  <c r="J66" i="65" s="1"/>
  <c r="J71" i="65" s="1"/>
  <c r="H66" i="63"/>
  <c r="J60" i="63"/>
  <c r="J66" i="63" s="1"/>
  <c r="F57" i="64"/>
  <c r="F58" i="64"/>
  <c r="F60" i="64" l="1"/>
  <c r="J59" i="65"/>
  <c r="H71" i="65"/>
  <c r="J61" i="65"/>
  <c r="J58" i="65"/>
  <c r="H62" i="65"/>
  <c r="J57" i="65"/>
  <c r="J60" i="65"/>
  <c r="J62" i="65" l="1"/>
  <c r="O20" i="58" l="1"/>
  <c r="I20" i="58"/>
  <c r="O23" i="58" l="1"/>
  <c r="P23" i="58" s="1"/>
  <c r="O22" i="58"/>
  <c r="P22" i="58" s="1"/>
  <c r="O21" i="58"/>
  <c r="P21" i="58" s="1"/>
  <c r="P20" i="58"/>
  <c r="P18" i="58"/>
  <c r="O7" i="58"/>
  <c r="P7" i="58" s="1"/>
  <c r="O5" i="58"/>
  <c r="P5" i="58" s="1"/>
  <c r="O3" i="58"/>
  <c r="O4" i="58"/>
  <c r="P4" i="58" s="1"/>
  <c r="O24" i="58" l="1"/>
  <c r="R7" i="58"/>
  <c r="Q7" i="58"/>
  <c r="R5" i="58"/>
  <c r="Q5" i="58"/>
  <c r="R18" i="58"/>
  <c r="Q18" i="58"/>
  <c r="R20" i="58"/>
  <c r="Q20" i="58"/>
  <c r="R4" i="58"/>
  <c r="Q4" i="58"/>
  <c r="R21" i="58"/>
  <c r="Q21" i="58"/>
  <c r="R22" i="58"/>
  <c r="Q22" i="58"/>
  <c r="R23" i="58"/>
  <c r="Q23" i="58"/>
  <c r="P3" i="58"/>
  <c r="P24" i="58" l="1"/>
  <c r="R3" i="58"/>
  <c r="R24" i="58" s="1"/>
  <c r="Q3" i="58"/>
  <c r="Q24" i="58" s="1"/>
  <c r="I29" i="5" l="1"/>
  <c r="K29" i="5" l="1"/>
  <c r="J20" i="58" l="1"/>
  <c r="I23" i="58"/>
  <c r="J23" i="58" s="1"/>
  <c r="I22" i="58"/>
  <c r="J22" i="58" s="1"/>
  <c r="I21" i="58"/>
  <c r="J21" i="58" s="1"/>
  <c r="I18" i="58"/>
  <c r="J18" i="58" s="1"/>
  <c r="I7" i="58"/>
  <c r="J7" i="58" s="1"/>
  <c r="I5" i="58"/>
  <c r="J5" i="58" s="1"/>
  <c r="I4" i="58"/>
  <c r="J4" i="58" s="1"/>
  <c r="I3" i="58"/>
  <c r="F66" i="46" l="1"/>
  <c r="D54" i="53"/>
  <c r="D55" i="53"/>
  <c r="D56" i="53"/>
  <c r="D57" i="53"/>
  <c r="I24" i="58"/>
  <c r="L5" i="58"/>
  <c r="K5" i="58"/>
  <c r="L7" i="58"/>
  <c r="K7" i="58"/>
  <c r="L18" i="58"/>
  <c r="K18" i="58"/>
  <c r="L4" i="58"/>
  <c r="K4" i="58"/>
  <c r="L20" i="58"/>
  <c r="K20" i="58"/>
  <c r="L21" i="58"/>
  <c r="K21" i="58"/>
  <c r="L22" i="58"/>
  <c r="K22" i="58"/>
  <c r="L23" i="58"/>
  <c r="K23" i="58"/>
  <c r="J3" i="58"/>
  <c r="J24" i="58" l="1"/>
  <c r="L3" i="58"/>
  <c r="L24" i="58" s="1"/>
  <c r="K3" i="58"/>
  <c r="K24" i="58" s="1"/>
  <c r="E29" i="5" l="1"/>
  <c r="G29" i="5" l="1"/>
  <c r="D53" i="53"/>
  <c r="C23" i="58" l="1"/>
  <c r="D23" i="58" s="1"/>
  <c r="C22" i="58"/>
  <c r="D22" i="58" s="1"/>
  <c r="C21" i="58"/>
  <c r="D21" i="58" s="1"/>
  <c r="C20" i="58"/>
  <c r="D20" i="58" s="1"/>
  <c r="C18" i="58"/>
  <c r="D18" i="58" s="1"/>
  <c r="C7" i="58"/>
  <c r="D7" i="58" s="1"/>
  <c r="C5" i="58"/>
  <c r="D5" i="58" s="1"/>
  <c r="C4" i="58"/>
  <c r="D4" i="58" s="1"/>
  <c r="C3" i="58"/>
  <c r="D3" i="58" s="1"/>
  <c r="F5" i="58" l="1"/>
  <c r="E5" i="58"/>
  <c r="F7" i="58"/>
  <c r="E7" i="58"/>
  <c r="F22" i="58"/>
  <c r="E22" i="58"/>
  <c r="F4" i="58"/>
  <c r="E4" i="58"/>
  <c r="F20" i="58"/>
  <c r="E20" i="58"/>
  <c r="F21" i="58"/>
  <c r="E21" i="58"/>
  <c r="F3" i="58"/>
  <c r="E3" i="58"/>
  <c r="D24" i="58"/>
  <c r="F18" i="58"/>
  <c r="E18" i="58"/>
  <c r="F23" i="58"/>
  <c r="E23" i="58"/>
  <c r="C24" i="58"/>
  <c r="C29" i="5" l="1"/>
  <c r="E24" i="58"/>
  <c r="F24" i="58"/>
  <c r="F64" i="46" l="1"/>
  <c r="F72" i="46"/>
  <c r="F60" i="46"/>
  <c r="F22" i="55"/>
  <c r="F20" i="55"/>
  <c r="F18" i="55"/>
  <c r="F16" i="55"/>
  <c r="F14" i="55"/>
  <c r="F12" i="55"/>
  <c r="D12" i="50"/>
  <c r="D12" i="56"/>
  <c r="E20" i="55"/>
  <c r="E22" i="55"/>
  <c r="E18" i="55"/>
  <c r="E16" i="55"/>
  <c r="E14" i="55"/>
  <c r="E12" i="55"/>
  <c r="B14" i="55"/>
  <c r="B24" i="55" s="1"/>
  <c r="C14" i="55"/>
  <c r="C24" i="55" s="1"/>
  <c r="S66" i="56"/>
  <c r="S64" i="56"/>
  <c r="S63" i="56"/>
  <c r="Q51" i="56"/>
  <c r="Q50" i="56"/>
  <c r="Q49" i="56"/>
  <c r="B44" i="56"/>
  <c r="C17" i="56" s="1"/>
  <c r="D17" i="56" s="1"/>
  <c r="L43" i="56"/>
  <c r="F43" i="56"/>
  <c r="L42" i="56"/>
  <c r="F42" i="56"/>
  <c r="L41" i="56"/>
  <c r="F41" i="56"/>
  <c r="L40" i="56"/>
  <c r="F40" i="56"/>
  <c r="L39" i="56"/>
  <c r="F39" i="56"/>
  <c r="L38" i="56"/>
  <c r="F38" i="56"/>
  <c r="L37" i="56"/>
  <c r="F37" i="56"/>
  <c r="L36" i="56"/>
  <c r="F36" i="56"/>
  <c r="L35" i="56"/>
  <c r="F35" i="56"/>
  <c r="L34" i="56"/>
  <c r="F34" i="56"/>
  <c r="L33" i="56"/>
  <c r="F33" i="56"/>
  <c r="L32" i="56"/>
  <c r="F32" i="56"/>
  <c r="L31" i="56"/>
  <c r="F31" i="56"/>
  <c r="L30" i="56"/>
  <c r="F30" i="56"/>
  <c r="L29" i="56"/>
  <c r="F29" i="56"/>
  <c r="L28" i="56"/>
  <c r="F28" i="56"/>
  <c r="L27" i="56"/>
  <c r="F27" i="56"/>
  <c r="L26" i="56"/>
  <c r="F26" i="56"/>
  <c r="L25" i="56"/>
  <c r="F25" i="56"/>
  <c r="L24" i="56"/>
  <c r="F24" i="56"/>
  <c r="L23" i="56"/>
  <c r="F23" i="56"/>
  <c r="L22" i="56"/>
  <c r="F22" i="56"/>
  <c r="L21" i="56"/>
  <c r="F21" i="56"/>
  <c r="L20" i="56"/>
  <c r="F20" i="56"/>
  <c r="L19" i="56"/>
  <c r="F19" i="56"/>
  <c r="L18" i="56"/>
  <c r="F18" i="56"/>
  <c r="AC17" i="56"/>
  <c r="L17" i="56"/>
  <c r="F17" i="56"/>
  <c r="L16" i="56"/>
  <c r="F16" i="56"/>
  <c r="L15" i="56"/>
  <c r="F15" i="56"/>
  <c r="L14" i="56"/>
  <c r="F14" i="56"/>
  <c r="C14" i="56"/>
  <c r="D14" i="56" s="1"/>
  <c r="C34" i="56"/>
  <c r="D34" i="56" s="1"/>
  <c r="D24" i="55"/>
  <c r="L43" i="50"/>
  <c r="L42" i="50"/>
  <c r="L41" i="50"/>
  <c r="L40" i="50"/>
  <c r="L39" i="50"/>
  <c r="L38" i="50"/>
  <c r="B44" i="50"/>
  <c r="C22" i="50" s="1"/>
  <c r="D22" i="50" s="1"/>
  <c r="F43" i="50"/>
  <c r="F42" i="50"/>
  <c r="F41" i="50"/>
  <c r="F40" i="50"/>
  <c r="F39" i="50"/>
  <c r="F38" i="50"/>
  <c r="F14" i="50"/>
  <c r="L14" i="50"/>
  <c r="F15" i="50"/>
  <c r="L15" i="50"/>
  <c r="F16" i="50"/>
  <c r="L16" i="50"/>
  <c r="F17" i="50"/>
  <c r="L17" i="50"/>
  <c r="AC17" i="50"/>
  <c r="F18" i="50"/>
  <c r="L18" i="50"/>
  <c r="F19" i="50"/>
  <c r="L19" i="50"/>
  <c r="F20" i="50"/>
  <c r="L20" i="50"/>
  <c r="F21" i="50"/>
  <c r="L21" i="50"/>
  <c r="F22" i="50"/>
  <c r="L22" i="50"/>
  <c r="F23" i="50"/>
  <c r="L23" i="50"/>
  <c r="F24" i="50"/>
  <c r="L24" i="50"/>
  <c r="F25" i="50"/>
  <c r="L25" i="50"/>
  <c r="F26" i="50"/>
  <c r="L26" i="50"/>
  <c r="F27" i="50"/>
  <c r="L27" i="50"/>
  <c r="F28" i="50"/>
  <c r="L28" i="50"/>
  <c r="F29" i="50"/>
  <c r="L29" i="50"/>
  <c r="F30" i="50"/>
  <c r="L30" i="50"/>
  <c r="F31" i="50"/>
  <c r="L31" i="50"/>
  <c r="F32" i="50"/>
  <c r="L32" i="50"/>
  <c r="F33" i="50"/>
  <c r="L33" i="50"/>
  <c r="F34" i="50"/>
  <c r="L34" i="50"/>
  <c r="F35" i="50"/>
  <c r="L35" i="50"/>
  <c r="F36" i="50"/>
  <c r="L36" i="50"/>
  <c r="F37" i="50"/>
  <c r="L37" i="50"/>
  <c r="Q49" i="50"/>
  <c r="Q50" i="50"/>
  <c r="Q51" i="50"/>
  <c r="S63" i="50"/>
  <c r="S64" i="50"/>
  <c r="S66" i="50"/>
  <c r="I16" i="55"/>
  <c r="C20" i="50"/>
  <c r="D20" i="50" s="1"/>
  <c r="C32" i="50"/>
  <c r="D32" i="50" s="1"/>
  <c r="H32" i="50" s="1"/>
  <c r="C42" i="50"/>
  <c r="D42" i="50" s="1"/>
  <c r="C21" i="50"/>
  <c r="D21" i="50" s="1"/>
  <c r="H21" i="50" s="1"/>
  <c r="C27" i="50"/>
  <c r="D27" i="50" s="1"/>
  <c r="H27" i="50" s="1"/>
  <c r="C33" i="50"/>
  <c r="D33" i="50" s="1"/>
  <c r="C39" i="50"/>
  <c r="D39" i="50" s="1"/>
  <c r="R39" i="50" s="1"/>
  <c r="C27" i="56" l="1"/>
  <c r="D27" i="56" s="1"/>
  <c r="R27" i="56" s="1"/>
  <c r="C41" i="56"/>
  <c r="D41" i="56" s="1"/>
  <c r="O41" i="56" s="1"/>
  <c r="C32" i="56"/>
  <c r="D32" i="56" s="1"/>
  <c r="C20" i="56"/>
  <c r="D20" i="56" s="1"/>
  <c r="C19" i="56"/>
  <c r="D19" i="56" s="1"/>
  <c r="E24" i="55"/>
  <c r="J20" i="55" s="1"/>
  <c r="C26" i="56"/>
  <c r="D26" i="56" s="1"/>
  <c r="R26" i="56" s="1"/>
  <c r="C21" i="56"/>
  <c r="D21" i="56" s="1"/>
  <c r="C23" i="56"/>
  <c r="D23" i="56" s="1"/>
  <c r="C37" i="56"/>
  <c r="D37" i="56" s="1"/>
  <c r="O37" i="56" s="1"/>
  <c r="C22" i="56"/>
  <c r="D22" i="56" s="1"/>
  <c r="H22" i="56" s="1"/>
  <c r="C35" i="56"/>
  <c r="D35" i="56" s="1"/>
  <c r="O35" i="56" s="1"/>
  <c r="C18" i="56"/>
  <c r="D18" i="56" s="1"/>
  <c r="O18" i="56" s="1"/>
  <c r="C43" i="56"/>
  <c r="D43" i="56" s="1"/>
  <c r="R43" i="56" s="1"/>
  <c r="F24" i="55"/>
  <c r="K20" i="55" s="1"/>
  <c r="C40" i="56"/>
  <c r="D40" i="56" s="1"/>
  <c r="H40" i="56" s="1"/>
  <c r="F67" i="46"/>
  <c r="H20" i="50"/>
  <c r="O20" i="50"/>
  <c r="R14" i="56"/>
  <c r="H14" i="56"/>
  <c r="O21" i="56"/>
  <c r="R21" i="56"/>
  <c r="H21" i="56"/>
  <c r="H12" i="55"/>
  <c r="H16" i="55"/>
  <c r="H20" i="55"/>
  <c r="H22" i="55"/>
  <c r="H18" i="55"/>
  <c r="O22" i="50"/>
  <c r="R22" i="50"/>
  <c r="H22" i="50"/>
  <c r="O32" i="56"/>
  <c r="R32" i="56"/>
  <c r="H20" i="56"/>
  <c r="R20" i="56"/>
  <c r="O20" i="56"/>
  <c r="O42" i="50"/>
  <c r="R42" i="50"/>
  <c r="H42" i="50"/>
  <c r="R33" i="50"/>
  <c r="H33" i="50"/>
  <c r="O33" i="50"/>
  <c r="C25" i="50"/>
  <c r="D25" i="50" s="1"/>
  <c r="R25" i="50" s="1"/>
  <c r="C15" i="50"/>
  <c r="D15" i="50" s="1"/>
  <c r="H15" i="50" s="1"/>
  <c r="C36" i="50"/>
  <c r="D36" i="50" s="1"/>
  <c r="C24" i="50"/>
  <c r="D24" i="50" s="1"/>
  <c r="C18" i="50"/>
  <c r="D18" i="50" s="1"/>
  <c r="R18" i="50" s="1"/>
  <c r="C41" i="50"/>
  <c r="D41" i="50" s="1"/>
  <c r="C35" i="50"/>
  <c r="D35" i="50" s="1"/>
  <c r="O35" i="50" s="1"/>
  <c r="C29" i="50"/>
  <c r="D29" i="50" s="1"/>
  <c r="O29" i="50" s="1"/>
  <c r="C23" i="50"/>
  <c r="D23" i="50" s="1"/>
  <c r="C17" i="50"/>
  <c r="D17" i="50" s="1"/>
  <c r="C38" i="50"/>
  <c r="D38" i="50" s="1"/>
  <c r="H38" i="50" s="1"/>
  <c r="C26" i="50"/>
  <c r="D26" i="50" s="1"/>
  <c r="H26" i="50" s="1"/>
  <c r="C16" i="50"/>
  <c r="D16" i="50" s="1"/>
  <c r="R16" i="50" s="1"/>
  <c r="C43" i="50"/>
  <c r="D43" i="50" s="1"/>
  <c r="O27" i="56"/>
  <c r="H18" i="56"/>
  <c r="C36" i="56"/>
  <c r="D36" i="56" s="1"/>
  <c r="O36" i="56" s="1"/>
  <c r="C28" i="56"/>
  <c r="D28" i="56" s="1"/>
  <c r="C31" i="56"/>
  <c r="D31" i="56" s="1"/>
  <c r="R31" i="56" s="1"/>
  <c r="C29" i="56"/>
  <c r="D29" i="56" s="1"/>
  <c r="R29" i="56" s="1"/>
  <c r="C25" i="56"/>
  <c r="D25" i="56" s="1"/>
  <c r="O25" i="56" s="1"/>
  <c r="F63" i="46"/>
  <c r="F75" i="46"/>
  <c r="C37" i="50"/>
  <c r="D37" i="50" s="1"/>
  <c r="C30" i="50"/>
  <c r="D30" i="50" s="1"/>
  <c r="C14" i="50"/>
  <c r="C31" i="50"/>
  <c r="D31" i="50" s="1"/>
  <c r="R31" i="50" s="1"/>
  <c r="C19" i="50"/>
  <c r="D19" i="50" s="1"/>
  <c r="C40" i="50"/>
  <c r="D40" i="50" s="1"/>
  <c r="C34" i="50"/>
  <c r="D34" i="50" s="1"/>
  <c r="C28" i="50"/>
  <c r="D28" i="50" s="1"/>
  <c r="H28" i="50" s="1"/>
  <c r="H14" i="55"/>
  <c r="R18" i="56"/>
  <c r="C42" i="56"/>
  <c r="D42" i="56" s="1"/>
  <c r="C38" i="56"/>
  <c r="D38" i="56" s="1"/>
  <c r="C30" i="56"/>
  <c r="D30" i="56" s="1"/>
  <c r="C39" i="56"/>
  <c r="D39" i="56" s="1"/>
  <c r="C33" i="56"/>
  <c r="D33" i="56" s="1"/>
  <c r="R33" i="56" s="1"/>
  <c r="C24" i="56"/>
  <c r="D24" i="56" s="1"/>
  <c r="O24" i="56" s="1"/>
  <c r="C15" i="56"/>
  <c r="D15" i="56" s="1"/>
  <c r="C16" i="56"/>
  <c r="D16" i="56" s="1"/>
  <c r="H16" i="56" s="1"/>
  <c r="F76" i="46"/>
  <c r="F78" i="46"/>
  <c r="O21" i="50"/>
  <c r="R21" i="50"/>
  <c r="G12" i="55"/>
  <c r="G16" i="55"/>
  <c r="G22" i="55"/>
  <c r="G18" i="55"/>
  <c r="H18" i="50"/>
  <c r="H25" i="50"/>
  <c r="O25" i="50"/>
  <c r="R38" i="50"/>
  <c r="O38" i="50"/>
  <c r="R32" i="50"/>
  <c r="O32" i="50"/>
  <c r="I14" i="55"/>
  <c r="I12" i="55"/>
  <c r="I18" i="55"/>
  <c r="I22" i="55"/>
  <c r="I20" i="55"/>
  <c r="H32" i="56"/>
  <c r="R17" i="56"/>
  <c r="O17" i="56"/>
  <c r="H17" i="56"/>
  <c r="H24" i="56"/>
  <c r="R34" i="56"/>
  <c r="O34" i="56"/>
  <c r="H34" i="56"/>
  <c r="O28" i="56"/>
  <c r="R28" i="56"/>
  <c r="H28" i="56"/>
  <c r="R29" i="50"/>
  <c r="F44" i="50"/>
  <c r="G27" i="50" s="1"/>
  <c r="H26" i="56"/>
  <c r="O26" i="56"/>
  <c r="R36" i="56"/>
  <c r="O39" i="50"/>
  <c r="H39" i="50"/>
  <c r="R27" i="50"/>
  <c r="O27" i="50"/>
  <c r="O15" i="50"/>
  <c r="G14" i="55"/>
  <c r="G20" i="55"/>
  <c r="R40" i="56"/>
  <c r="O40" i="56"/>
  <c r="R20" i="50"/>
  <c r="R36" i="50"/>
  <c r="O14" i="56"/>
  <c r="R35" i="56"/>
  <c r="H35" i="56"/>
  <c r="O16" i="56"/>
  <c r="R16" i="56"/>
  <c r="F44" i="56"/>
  <c r="G15" i="56" s="1"/>
  <c r="R41" i="56"/>
  <c r="H25" i="56"/>
  <c r="R25" i="56"/>
  <c r="R22" i="56"/>
  <c r="O22" i="56"/>
  <c r="H19" i="56"/>
  <c r="O19" i="56"/>
  <c r="R19" i="56"/>
  <c r="J18" i="55" l="1"/>
  <c r="H33" i="56"/>
  <c r="G37" i="50"/>
  <c r="R28" i="50"/>
  <c r="H31" i="56"/>
  <c r="H43" i="56"/>
  <c r="O31" i="56"/>
  <c r="O26" i="50"/>
  <c r="H27" i="56"/>
  <c r="O43" i="56"/>
  <c r="H41" i="56"/>
  <c r="O18" i="50"/>
  <c r="K18" i="55"/>
  <c r="K16" i="55"/>
  <c r="J22" i="55"/>
  <c r="K12" i="55"/>
  <c r="K24" i="55" s="1"/>
  <c r="K14" i="55"/>
  <c r="K22" i="55"/>
  <c r="J12" i="55"/>
  <c r="J24" i="55" s="1"/>
  <c r="J14" i="55"/>
  <c r="J16" i="55"/>
  <c r="R37" i="56"/>
  <c r="H16" i="50"/>
  <c r="H37" i="56"/>
  <c r="O29" i="56"/>
  <c r="F61" i="46"/>
  <c r="R19" i="50"/>
  <c r="H19" i="50"/>
  <c r="R15" i="50"/>
  <c r="O28" i="50"/>
  <c r="H29" i="50"/>
  <c r="H36" i="56"/>
  <c r="G25" i="50"/>
  <c r="O33" i="56"/>
  <c r="O31" i="50"/>
  <c r="H39" i="56"/>
  <c r="R39" i="56"/>
  <c r="O39" i="56"/>
  <c r="H34" i="50"/>
  <c r="O34" i="50"/>
  <c r="R34" i="50"/>
  <c r="D14" i="50"/>
  <c r="C44" i="50"/>
  <c r="R35" i="50"/>
  <c r="H35" i="50"/>
  <c r="R24" i="50"/>
  <c r="H24" i="50"/>
  <c r="O24" i="50"/>
  <c r="O38" i="56"/>
  <c r="R38" i="56"/>
  <c r="H38" i="56"/>
  <c r="R37" i="50"/>
  <c r="H37" i="50"/>
  <c r="O37" i="50"/>
  <c r="H23" i="50"/>
  <c r="O23" i="50"/>
  <c r="R23" i="50"/>
  <c r="H24" i="55"/>
  <c r="O19" i="50"/>
  <c r="H42" i="56"/>
  <c r="R42" i="56"/>
  <c r="O42" i="56"/>
  <c r="R26" i="50"/>
  <c r="H29" i="56"/>
  <c r="C44" i="56"/>
  <c r="O16" i="50"/>
  <c r="R24" i="56"/>
  <c r="R44" i="56" s="1"/>
  <c r="H31" i="50"/>
  <c r="H15" i="56"/>
  <c r="O15" i="56"/>
  <c r="R15" i="56"/>
  <c r="R30" i="56"/>
  <c r="H30" i="56"/>
  <c r="O30" i="56"/>
  <c r="O40" i="50"/>
  <c r="R40" i="50"/>
  <c r="H40" i="50"/>
  <c r="H30" i="50"/>
  <c r="O30" i="50"/>
  <c r="R30" i="50"/>
  <c r="H43" i="50"/>
  <c r="O43" i="50"/>
  <c r="R43" i="50"/>
  <c r="H17" i="50"/>
  <c r="O17" i="50"/>
  <c r="R17" i="50"/>
  <c r="R41" i="50"/>
  <c r="O41" i="50"/>
  <c r="H41" i="50"/>
  <c r="H36" i="50"/>
  <c r="O36" i="50"/>
  <c r="G27" i="56"/>
  <c r="G43" i="56"/>
  <c r="G36" i="56"/>
  <c r="G28" i="56"/>
  <c r="G16" i="56"/>
  <c r="G31" i="56"/>
  <c r="G42" i="56"/>
  <c r="G34" i="56"/>
  <c r="G26" i="56"/>
  <c r="G21" i="56"/>
  <c r="G37" i="56"/>
  <c r="G23" i="56"/>
  <c r="G39" i="56"/>
  <c r="G38" i="56"/>
  <c r="G30" i="56"/>
  <c r="G20" i="56"/>
  <c r="G18" i="56"/>
  <c r="G29" i="56"/>
  <c r="G14" i="56"/>
  <c r="G19" i="56"/>
  <c r="G22" i="56"/>
  <c r="G41" i="56"/>
  <c r="G35" i="56"/>
  <c r="G24" i="56"/>
  <c r="G32" i="56"/>
  <c r="G33" i="56"/>
  <c r="G40" i="56"/>
  <c r="G25" i="56"/>
  <c r="H23" i="56"/>
  <c r="O23" i="56"/>
  <c r="R23" i="56"/>
  <c r="G18" i="50"/>
  <c r="G26" i="50"/>
  <c r="G17" i="50"/>
  <c r="G41" i="50"/>
  <c r="G24" i="50"/>
  <c r="G15" i="50"/>
  <c r="G34" i="50"/>
  <c r="G16" i="50"/>
  <c r="G31" i="50"/>
  <c r="G30" i="50"/>
  <c r="G23" i="50"/>
  <c r="G14" i="50"/>
  <c r="G38" i="50"/>
  <c r="G20" i="50"/>
  <c r="G42" i="50"/>
  <c r="G29" i="50"/>
  <c r="G43" i="50"/>
  <c r="G28" i="50"/>
  <c r="G36" i="50"/>
  <c r="G21" i="50"/>
  <c r="G40" i="50"/>
  <c r="G22" i="50"/>
  <c r="G32" i="50"/>
  <c r="G33" i="50"/>
  <c r="D52" i="53"/>
  <c r="D44" i="56"/>
  <c r="G24" i="55"/>
  <c r="G17" i="56"/>
  <c r="G39" i="50"/>
  <c r="G19" i="50"/>
  <c r="G35" i="50"/>
  <c r="F73" i="46"/>
  <c r="I24" i="55"/>
  <c r="O44" i="56" l="1"/>
  <c r="O49" i="56"/>
  <c r="O63" i="56" s="1"/>
  <c r="R49" i="56"/>
  <c r="R63" i="56" s="1"/>
  <c r="R69" i="56" s="1"/>
  <c r="H44" i="56"/>
  <c r="I20" i="56" s="1"/>
  <c r="H14" i="50"/>
  <c r="H44" i="50" s="1"/>
  <c r="I35" i="50" s="1"/>
  <c r="R14" i="50"/>
  <c r="O14" i="50"/>
  <c r="D44" i="50"/>
  <c r="I37" i="56"/>
  <c r="I21" i="56"/>
  <c r="I27" i="56"/>
  <c r="I14" i="56"/>
  <c r="I35" i="56"/>
  <c r="I33" i="56"/>
  <c r="I29" i="56"/>
  <c r="I32" i="56"/>
  <c r="I34" i="56"/>
  <c r="I41" i="56"/>
  <c r="G44" i="56"/>
  <c r="O69" i="56"/>
  <c r="G44" i="50"/>
  <c r="I20" i="50"/>
  <c r="I37" i="50"/>
  <c r="I23" i="50"/>
  <c r="I19" i="50"/>
  <c r="I36" i="50"/>
  <c r="I38" i="50"/>
  <c r="I40" i="50"/>
  <c r="I21" i="50"/>
  <c r="I28" i="50"/>
  <c r="I23" i="56"/>
  <c r="I29" i="50"/>
  <c r="I22" i="56" l="1"/>
  <c r="I31" i="56"/>
  <c r="I25" i="56"/>
  <c r="I39" i="56"/>
  <c r="I17" i="56"/>
  <c r="I42" i="56"/>
  <c r="I30" i="56"/>
  <c r="I26" i="56"/>
  <c r="I40" i="56"/>
  <c r="I43" i="56"/>
  <c r="I18" i="56"/>
  <c r="I15" i="50"/>
  <c r="I33" i="50"/>
  <c r="I24" i="56"/>
  <c r="I28" i="56"/>
  <c r="I16" i="56"/>
  <c r="I15" i="56"/>
  <c r="I19" i="56"/>
  <c r="I36" i="56"/>
  <c r="I38" i="56"/>
  <c r="R49" i="50"/>
  <c r="R63" i="50" s="1"/>
  <c r="R69" i="50" s="1"/>
  <c r="R44" i="50"/>
  <c r="F74" i="46"/>
  <c r="I26" i="50"/>
  <c r="I32" i="50"/>
  <c r="I30" i="50"/>
  <c r="I24" i="50"/>
  <c r="I18" i="50"/>
  <c r="I25" i="50"/>
  <c r="I16" i="50"/>
  <c r="I31" i="50"/>
  <c r="I39" i="50"/>
  <c r="I22" i="50"/>
  <c r="I14" i="50"/>
  <c r="I27" i="50"/>
  <c r="I17" i="50"/>
  <c r="I34" i="50"/>
  <c r="I42" i="50"/>
  <c r="I41" i="50"/>
  <c r="I43" i="50"/>
  <c r="O49" i="50"/>
  <c r="O63" i="50" s="1"/>
  <c r="O69" i="50" s="1"/>
  <c r="O66" i="50" s="1"/>
  <c r="O51" i="50" s="1"/>
  <c r="O44" i="50"/>
  <c r="O64" i="56"/>
  <c r="O66" i="56"/>
  <c r="O51" i="56" s="1"/>
  <c r="R66" i="56"/>
  <c r="R51" i="56" s="1"/>
  <c r="R64" i="56"/>
  <c r="R66" i="50"/>
  <c r="R51" i="50" s="1"/>
  <c r="R64" i="50"/>
  <c r="I44" i="56" l="1"/>
  <c r="O64" i="50"/>
  <c r="I44" i="50"/>
  <c r="F62" i="46"/>
  <c r="R50" i="56"/>
  <c r="R53" i="56" s="1"/>
  <c r="R65" i="56"/>
  <c r="R67" i="56" s="1"/>
  <c r="O50" i="50"/>
  <c r="O53" i="50" s="1"/>
  <c r="O57" i="50" s="1"/>
  <c r="O65" i="50"/>
  <c r="O67" i="50" s="1"/>
  <c r="R50" i="50"/>
  <c r="R53" i="50" s="1"/>
  <c r="R65" i="50"/>
  <c r="R67" i="50" s="1"/>
  <c r="M51" i="56"/>
  <c r="M51" i="50"/>
  <c r="O50" i="56"/>
  <c r="O53" i="56" s="1"/>
  <c r="O57" i="56" s="1"/>
  <c r="A69" i="50" s="1"/>
  <c r="O65" i="56"/>
  <c r="O67" i="56" s="1"/>
  <c r="S53" i="50" l="1"/>
  <c r="R59" i="50"/>
  <c r="S53" i="56"/>
  <c r="R59" i="56"/>
  <c r="F65" i="46" l="1"/>
  <c r="F77" i="46"/>
  <c r="F79" i="46" s="1"/>
  <c r="H78" i="46" s="1"/>
  <c r="D59" i="53"/>
  <c r="F68" i="46" l="1"/>
  <c r="H74" i="46"/>
  <c r="H76" i="46"/>
  <c r="H73" i="46"/>
  <c r="H75" i="46"/>
  <c r="H77" i="46"/>
  <c r="H65" i="46" l="1"/>
  <c r="H66" i="46"/>
  <c r="H64" i="46"/>
  <c r="H67" i="46"/>
  <c r="H62" i="46"/>
  <c r="H63" i="46"/>
  <c r="H61" i="46"/>
  <c r="J78" i="46"/>
  <c r="J75" i="46"/>
  <c r="J77" i="46"/>
  <c r="J73" i="46"/>
  <c r="H79" i="46"/>
  <c r="J74" i="46"/>
  <c r="J76" i="46"/>
  <c r="J63" i="46" l="1"/>
  <c r="J62" i="46"/>
  <c r="J67" i="46"/>
  <c r="J64" i="46"/>
  <c r="J66" i="46"/>
  <c r="J65" i="46"/>
  <c r="H68" i="46"/>
  <c r="J61" i="46"/>
  <c r="J79" i="46"/>
  <c r="F55" i="53"/>
  <c r="F54" i="53"/>
  <c r="F56" i="53"/>
  <c r="F57" i="53"/>
  <c r="F53" i="53"/>
  <c r="J68" i="46" l="1"/>
  <c r="F52" i="53"/>
  <c r="F59" i="5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South Texas Community College</author>
  </authors>
  <commentList>
    <comment ref="B12" authorId="0" shapeId="0" xr:uid="{00000000-0006-0000-0000-000001000000}">
      <text>
        <r>
          <rPr>
            <sz val="10"/>
            <color indexed="81"/>
            <rFont val="Tahoma"/>
            <family val="2"/>
          </rPr>
          <t>Concurrent Enrollment Students are not included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South Texas Community College</author>
  </authors>
  <commentList>
    <comment ref="B12" authorId="0" shapeId="0" xr:uid="{00000000-0006-0000-0100-000001000000}">
      <text>
        <r>
          <rPr>
            <sz val="10"/>
            <color indexed="81"/>
            <rFont val="Tahoma"/>
            <family val="2"/>
          </rPr>
          <t>Concurrent Enrollment Students are not included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mnespino</author>
  </authors>
  <commentList>
    <comment ref="D12" authorId="0" shapeId="0" xr:uid="{3E9B790E-C39D-4E40-BB9B-5670B0F713A4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update link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mnespino</author>
  </authors>
  <commentList>
    <comment ref="C15" authorId="0" shapeId="0" xr:uid="{70F3791B-2113-4676-A1AE-4982E96B2460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 xr:uid="{D8DED3AA-98B6-4E83-9C5D-985943DD6315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 xr:uid="{E9D8370A-F694-47E1-95C3-9ACDBA9C3168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 xr:uid="{F6F8730D-0BEE-4F1C-BA34-B852A363C542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 xr:uid="{7CC7B73C-F34F-4551-B54D-87F84F13B6F6}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nsanchez</author>
  </authors>
  <commentList>
    <comment ref="H11" authorId="0" shapeId="0" xr:uid="{00000000-0006-0000-0800-000001000000}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</commentList>
</comments>
</file>

<file path=xl/sharedStrings.xml><?xml version="1.0" encoding="utf-8"?>
<sst xmlns="http://schemas.openxmlformats.org/spreadsheetml/2006/main" count="728" uniqueCount="280">
  <si>
    <t>South Texas Community College</t>
  </si>
  <si>
    <t>Other Revenues</t>
  </si>
  <si>
    <t>Local Taxes</t>
  </si>
  <si>
    <t xml:space="preserve"> </t>
  </si>
  <si>
    <t>%</t>
  </si>
  <si>
    <t>Actual</t>
  </si>
  <si>
    <t>Total Revenues</t>
  </si>
  <si>
    <t>Tuition</t>
  </si>
  <si>
    <t xml:space="preserve">Unrestricted Fund </t>
  </si>
  <si>
    <t>Revenues by Source</t>
  </si>
  <si>
    <t>Revenue Source</t>
  </si>
  <si>
    <t>Fees</t>
  </si>
  <si>
    <t>Partnership</t>
  </si>
  <si>
    <t>Budget</t>
  </si>
  <si>
    <t>(As Amended)</t>
  </si>
  <si>
    <t>Unrestricted Fund</t>
  </si>
  <si>
    <t>State Appropriations</t>
  </si>
  <si>
    <t>Source of Revenues</t>
  </si>
  <si>
    <t>Projected Tuition and Fees Revenues  - Fiscal Year 1999</t>
  </si>
  <si>
    <t>Based on Actual Fall 1998 Enrollment of 9461 Students</t>
  </si>
  <si>
    <t>No increase for Spring</t>
  </si>
  <si>
    <t>Alternative Method of Projecting Revenues</t>
  </si>
  <si>
    <t>Projected Revenues Based on Annualized FTE</t>
  </si>
  <si>
    <t>Based on No. of Students Enrolled in Specified No. of Credit Hours</t>
  </si>
  <si>
    <t>Tuition Rate</t>
  </si>
  <si>
    <t>Student</t>
  </si>
  <si>
    <t>Fee Rate</t>
  </si>
  <si>
    <t>Summary of Increases</t>
  </si>
  <si>
    <t>Number of</t>
  </si>
  <si>
    <t>Net **</t>
  </si>
  <si>
    <t>Gross</t>
  </si>
  <si>
    <t>Schedule</t>
  </si>
  <si>
    <t>Registration</t>
  </si>
  <si>
    <t xml:space="preserve">Credit </t>
  </si>
  <si>
    <t>Students</t>
  </si>
  <si>
    <t>Of</t>
  </si>
  <si>
    <t>Enrolled</t>
  </si>
  <si>
    <t>Credit</t>
  </si>
  <si>
    <t>Fee</t>
  </si>
  <si>
    <t>Set</t>
  </si>
  <si>
    <t>Hours</t>
  </si>
  <si>
    <t>Enrolled*</t>
  </si>
  <si>
    <t>Total</t>
  </si>
  <si>
    <t>Rate</t>
  </si>
  <si>
    <t>Revenue</t>
  </si>
  <si>
    <t>Mandatory Fees</t>
  </si>
  <si>
    <t>New and Returning Fees</t>
  </si>
  <si>
    <t>Total Increase</t>
  </si>
  <si>
    <t>The total increase does not include increases in other</t>
  </si>
  <si>
    <t>incidental fees such as installment fee, late registration, etc.</t>
  </si>
  <si>
    <t>Registration Fees</t>
  </si>
  <si>
    <t>%revenue</t>
  </si>
  <si>
    <t>total</t>
  </si>
  <si>
    <t>tuition</t>
  </si>
  <si>
    <t>fees</t>
  </si>
  <si>
    <t>Total Projected Tuition and Fees</t>
  </si>
  <si>
    <t>% calculations</t>
  </si>
  <si>
    <t>fall</t>
  </si>
  <si>
    <t>spring</t>
  </si>
  <si>
    <t>::</t>
  </si>
  <si>
    <t>0.8090 fall&amp;sp</t>
  </si>
  <si>
    <t>0.1910 sum</t>
  </si>
  <si>
    <t>Num of</t>
  </si>
  <si>
    <t>Hourly Rate</t>
  </si>
  <si>
    <t>Carryover from Prior FY</t>
  </si>
  <si>
    <t>South Texas College</t>
  </si>
  <si>
    <t>fall  0.4075</t>
  </si>
  <si>
    <t>sum  0.1850</t>
  </si>
  <si>
    <t>spr  0.4075</t>
  </si>
  <si>
    <t>TOTAL TUITION</t>
  </si>
  <si>
    <t xml:space="preserve">REMISSIONS &amp; EXEMPTIONS </t>
  </si>
  <si>
    <t>MANDATORY</t>
  </si>
  <si>
    <t>Summary of Revenues - Budget and Actual</t>
  </si>
  <si>
    <t>Total Unrestricted Fund Revenues</t>
  </si>
  <si>
    <t>Percentage</t>
  </si>
  <si>
    <t>Revenue Sources</t>
  </si>
  <si>
    <t>Five Year Actual History</t>
  </si>
  <si>
    <t>FY 2007 - 2008</t>
  </si>
  <si>
    <t>FY 2006 - 2007</t>
  </si>
  <si>
    <t>FY 2005 - 2006</t>
  </si>
  <si>
    <t>FY 2004 - 2005</t>
  </si>
  <si>
    <t>Dollars</t>
  </si>
  <si>
    <t>DE Exemptions</t>
  </si>
  <si>
    <r>
      <t xml:space="preserve">Current </t>
    </r>
    <r>
      <rPr>
        <b/>
        <sz val="9"/>
        <rFont val="Arial Unicode MS"/>
        <family val="2"/>
      </rPr>
      <t>(1)</t>
    </r>
  </si>
  <si>
    <t>FY 05</t>
  </si>
  <si>
    <t>FY 06</t>
  </si>
  <si>
    <t>FY 07</t>
  </si>
  <si>
    <t>FY 08</t>
  </si>
  <si>
    <t>CURRENT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</si>
  <si>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</si>
  <si>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</si>
  <si>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</si>
  <si>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Projected Tuition and Fees Revenues  - Fiscal Year 2010</t>
  </si>
  <si>
    <t>FY 2010</t>
  </si>
  <si>
    <t>Based on Projected Headcount for Fall 2010 of 23,259</t>
  </si>
  <si>
    <t>(Less 33.00% for Dual Enrollment)</t>
  </si>
  <si>
    <t>Fall 2008</t>
  </si>
  <si>
    <t xml:space="preserve">* Based on Fall 2008 latest Students per Semester Credit Hours of 22,066 less Dual Enrollment of 7036 students (32.00%). </t>
  </si>
  <si>
    <t xml:space="preserve">** Based on Fall 2010 estimate of 23,259 less 33.00% for dual enrollment.  33.00% based on latest estimate for </t>
  </si>
  <si>
    <t>dual enrollment students of 7,560</t>
  </si>
  <si>
    <t xml:space="preserve">* Based on Fall 2008 latest Students per Semester Credit Hours of 22,066 less Dual Enrollment of 7,036 students (32.00%). </t>
  </si>
  <si>
    <t>FY 2008 - 2009</t>
  </si>
  <si>
    <t>(1) As of March 31, 2009</t>
  </si>
  <si>
    <t>FY 09</t>
  </si>
  <si>
    <t>TPEG Set aside</t>
  </si>
  <si>
    <t>EMLN</t>
  </si>
  <si>
    <t>TPEG</t>
  </si>
  <si>
    <t>Academic - Res</t>
  </si>
  <si>
    <t>Academic - Non Res</t>
  </si>
  <si>
    <t>Differential</t>
  </si>
  <si>
    <t>NAAMREI</t>
  </si>
  <si>
    <t>CPE</t>
  </si>
  <si>
    <t>Foreign Nurses</t>
  </si>
  <si>
    <t>Note:</t>
  </si>
  <si>
    <t xml:space="preserve">State Appropriations Revenues include state on-behalf benefits which are budgeted in the Unrestricted Fund </t>
  </si>
  <si>
    <t>Estimated*</t>
  </si>
  <si>
    <t>* Amounts are estimated.  Actual amounts will be available after fiscal year end and completion of audit.</t>
  </si>
  <si>
    <t>and are subsequently transferred to the Restricted Fund along with related expenditures for Annual Financial Report purposes.</t>
  </si>
  <si>
    <t>Recovery of Costs</t>
  </si>
  <si>
    <t>methodology</t>
  </si>
  <si>
    <t>only update</t>
  </si>
  <si>
    <t>graphs are linked to these summaries and will populate when numbers are changed</t>
  </si>
  <si>
    <t>cross check percentages on graphs</t>
  </si>
  <si>
    <t>Linked To</t>
  </si>
  <si>
    <t>Sheet</t>
  </si>
  <si>
    <t>New Year Only</t>
  </si>
  <si>
    <t>Graph</t>
  </si>
  <si>
    <t>Graph Compare</t>
  </si>
  <si>
    <t>Rev Summ</t>
  </si>
  <si>
    <t>Rev Detail Tuit &amp; Fees</t>
  </si>
  <si>
    <t>TPEG breakdown</t>
  </si>
  <si>
    <t>Rev Summary</t>
  </si>
  <si>
    <t>New and Old Year</t>
  </si>
  <si>
    <t>Biology</t>
  </si>
  <si>
    <t>Academic - Res Out Dist</t>
  </si>
  <si>
    <t>Carryover Allocations</t>
  </si>
  <si>
    <t>Fees Continued</t>
  </si>
  <si>
    <t>Other Revenues Continued</t>
  </si>
  <si>
    <t>M&amp;O Tax Bond Program 2013</t>
  </si>
  <si>
    <t>Culinary Arts</t>
  </si>
  <si>
    <t>Emergency Medical Technology</t>
  </si>
  <si>
    <t>Welding</t>
  </si>
  <si>
    <t>FY '22</t>
  </si>
  <si>
    <t>FY2022</t>
  </si>
  <si>
    <t>HEERF Lost Revenue</t>
  </si>
  <si>
    <t>FY '23</t>
  </si>
  <si>
    <t>Fiscal Year 2022 - 2023</t>
  </si>
  <si>
    <t>FY2023</t>
  </si>
  <si>
    <t>Comparison of Previous Fiscal Years with Fiscal Year Ending August 31, 2024</t>
  </si>
  <si>
    <t>FY '24</t>
  </si>
  <si>
    <t>FY2024</t>
  </si>
  <si>
    <t>Comparison of Previous Fiscal Year with Fiscal Year Ending August 31, 2024</t>
  </si>
  <si>
    <t xml:space="preserve">FY '23 Budget  
(As Amended)                           </t>
  </si>
  <si>
    <t>Fiscal Year 2023 - 2024</t>
  </si>
  <si>
    <t>FY '24 Budget</t>
  </si>
  <si>
    <t>Budget for Fiscal Year 2023 - 2024</t>
  </si>
  <si>
    <t xml:space="preserve">FY '24 Budget 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</si>
  <si>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</si>
  <si>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</si>
  <si>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</si>
  <si>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</si>
  <si>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</si>
  <si>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</si>
  <si>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</si>
  <si>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</si>
  <si>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</si>
  <si>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</si>
  <si>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Total Expenditures </t>
  </si>
  <si>
    <t>FY '23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</si>
  <si>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</si>
  <si>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</si>
  <si>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</si>
  <si>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</si>
  <si>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</si>
  <si>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</si>
  <si>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</si>
  <si>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</si>
  <si>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</si>
  <si>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</si>
  <si>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</si>
  <si>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</si>
  <si>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</si>
  <si>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</si>
  <si>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</si>
  <si>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</si>
  <si>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</si>
  <si>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</si>
  <si>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</si>
  <si>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</si>
  <si>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</si>
  <si>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</si>
  <si>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</si>
  <si>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</si>
  <si>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Transfer-ITED</t>
  </si>
  <si>
    <t>Contingency</t>
  </si>
  <si>
    <t>HEERF Fund Balance Reserve</t>
  </si>
  <si>
    <t>Total Transfers and Reserves</t>
  </si>
  <si>
    <t xml:space="preserve">Total Unrestricted Budget </t>
  </si>
  <si>
    <t>Expenditures/Transfers/Reserves</t>
  </si>
  <si>
    <t>With Transfers and Reserves</t>
  </si>
  <si>
    <t xml:space="preserve">Current &amp; Plant Funds </t>
  </si>
  <si>
    <t>Summary of Revenues, Expenditures, Transfers and Reserves by Fund</t>
  </si>
  <si>
    <t>Fund</t>
  </si>
  <si>
    <t>Revenues and Transfers*</t>
  </si>
  <si>
    <t>Expenditures, Transfers and Reserves</t>
  </si>
  <si>
    <t>Auxiliary Fund</t>
  </si>
  <si>
    <t>Restricted Fund</t>
  </si>
  <si>
    <t>Endowment Fund</t>
  </si>
  <si>
    <t>Plant Fund - Unexpended - Construction</t>
  </si>
  <si>
    <t>Plant Fund - Renewals &amp; Replacements</t>
  </si>
  <si>
    <t>Plant Fund - Retirement of Indebtedness</t>
  </si>
  <si>
    <t>* Amounts may include Fund Balance (Carryover).</t>
  </si>
  <si>
    <t>Summary of Capital Expenditures by Function and Organization</t>
  </si>
  <si>
    <t>Organization Name</t>
  </si>
  <si>
    <t>Organization Code</t>
  </si>
  <si>
    <t>RCPSE - Non State</t>
  </si>
  <si>
    <t>RCPSE - State</t>
  </si>
  <si>
    <t>Learning Outcomes</t>
  </si>
  <si>
    <t>HVACR</t>
  </si>
  <si>
    <t>CPWE-State</t>
  </si>
  <si>
    <t xml:space="preserve">The Institute for Adv Manufacturing </t>
  </si>
  <si>
    <t>Total Instruction</t>
  </si>
  <si>
    <t xml:space="preserve">Academic Support </t>
  </si>
  <si>
    <t>Dual Credit Programs</t>
  </si>
  <si>
    <t>Library Acquisition</t>
  </si>
  <si>
    <t>530002</t>
  </si>
  <si>
    <t>BAT and Support Materials</t>
  </si>
  <si>
    <t>530008</t>
  </si>
  <si>
    <t>Educ Tech Maintenance &amp; Replacement</t>
  </si>
  <si>
    <t>Total Academic Support</t>
  </si>
  <si>
    <t>Cashiers Office</t>
  </si>
  <si>
    <t>Systems and Networking</t>
  </si>
  <si>
    <t>Total Institutional Support</t>
  </si>
  <si>
    <t>Campus Police</t>
  </si>
  <si>
    <t>Security Surveillance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</si>
  <si>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</si>
  <si>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</si>
  <si>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</si>
  <si>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</si>
  <si>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</si>
  <si>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</si>
  <si>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Revenues</t>
  </si>
  <si>
    <t>Expenditures and Transfers</t>
  </si>
  <si>
    <t>2021-2022</t>
  </si>
  <si>
    <t>2022-2023</t>
  </si>
  <si>
    <t>2023-2024</t>
  </si>
  <si>
    <t>* Revenues may include Fund Balance (Carryover)</t>
  </si>
  <si>
    <t>** Projected for Fiscal Year 2023</t>
  </si>
  <si>
    <r>
      <t xml:space="preserve">The </t>
    </r>
    <r>
      <rPr>
        <i/>
        <sz val="11"/>
        <rFont val="Calibri"/>
        <family val="2"/>
        <scheme val="minor"/>
      </rPr>
      <t>Auxiliary Fund</t>
    </r>
    <r>
      <rPr>
        <sz val="11"/>
        <rFont val="Calibri"/>
        <family val="2"/>
        <scheme val="minor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</si>
  <si>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</si>
  <si>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</si>
  <si>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</si>
  <si>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</si>
  <si>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</si>
  <si>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</si>
  <si>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2023</t>
  </si>
  <si>
    <r>
      <t xml:space="preserve">The </t>
    </r>
    <r>
      <rPr>
        <i/>
        <sz val="11"/>
        <rFont val="Calibri"/>
        <family val="2"/>
        <scheme val="minor"/>
      </rPr>
      <t>Restricted Fund</t>
    </r>
    <r>
      <rPr>
        <sz val="11"/>
        <rFont val="Calibri"/>
        <family val="2"/>
        <scheme val="minor"/>
      </rPr>
      <t xml:space="preserve"> accounts for operating funds that have been restricted for a specific purpose by external parties, grants, </t>
    </r>
  </si>
  <si>
    <t>contracts, donors, or legislation.</t>
  </si>
  <si>
    <t xml:space="preserve">The Endowment Fund accounts for donor restricted gifts that are invested as per the donor's stated terms.  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</si>
  <si>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</si>
  <si>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</si>
  <si>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</si>
  <si>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</si>
  <si>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</si>
  <si>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</si>
  <si>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Calibri"/>
        <family val="2"/>
        <scheme val="minor"/>
      </rPr>
      <t>Unexpended - Construction Fund</t>
    </r>
    <r>
      <rPr>
        <sz val="11"/>
        <rFont val="Calibri"/>
        <family val="2"/>
        <scheme val="minor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</si>
  <si>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</si>
  <si>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Calibri"/>
        <family val="2"/>
        <scheme val="minor"/>
      </rPr>
      <t>Renewals and Replacements Fund</t>
    </r>
    <r>
      <rPr>
        <sz val="11"/>
        <rFont val="Calibri"/>
        <family val="2"/>
        <scheme val="minor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</si>
  <si>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</si>
  <si>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Calibri"/>
        <family val="2"/>
        <scheme val="minor"/>
      </rPr>
      <t>Retirement of Indebtedness Fund</t>
    </r>
    <r>
      <rPr>
        <sz val="11"/>
        <rFont val="Calibri"/>
        <family val="2"/>
        <scheme val="minor"/>
      </rPr>
      <t xml:space="preserve"> accounts for funds held in reserve for paying principal and   </t>
    </r>
  </si>
  <si>
    <t>interest on debt, as well as related costs in accordance with bond indentures.</t>
  </si>
  <si>
    <t xml:space="preserve">Summary of Local Government Code Section 140.0045 Expenditures </t>
  </si>
  <si>
    <t>Itemization of Certain Expenditures</t>
  </si>
  <si>
    <t>Required in Certain Political Subdivision Budgets**</t>
  </si>
  <si>
    <t>FY '20</t>
  </si>
  <si>
    <t>Expenditures</t>
  </si>
  <si>
    <t>Total Section 140.0045 Expenditures</t>
  </si>
  <si>
    <t xml:space="preserve">The budgeted and estimated expenditure amounts are included in various departmental organization budgets.  </t>
  </si>
  <si>
    <t xml:space="preserve">* Amounts are estimated.  Audited actual amounts will be available after fiscal year end and completion of financial audit.     </t>
  </si>
  <si>
    <t>** Expenditures for directly or indirectly influencing or attempting to influence the outcome of legislation or administrative action, as those terms are defined in Section 305.002, Government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</si>
</sst>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#,##0.0000"/>
    <numFmt numFmtId="166" formatCode="[$$-409]#,##0"/>
    <numFmt numFmtId="167" formatCode="_(* #,##0_);_(* \(#,##0\);_(* &quot;-&quot;??_);_(@_)"/>
    <numFmt numFmtId="168" formatCode="&quot;$&quot;#,##0"/>
    <numFmt numFmtId="169" formatCode="0.000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0.0%"/>
    <numFmt numFmtId="173" formatCode="#,##0.00;[Red]#,##0.00"/>
  </numFmts>
  <fonts count="98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 MT"/>
    </font>
    <font>
      <sz val="12"/>
      <color indexed="10"/>
      <name val="Arial"/>
      <family val="2"/>
    </font>
    <font>
      <b/>
      <sz val="14"/>
      <name val="Arial MT"/>
    </font>
    <font>
      <b/>
      <sz val="18"/>
      <name val="Arial"/>
      <family val="2"/>
    </font>
    <font>
      <b/>
      <i/>
      <sz val="14"/>
      <name val="Arial MT"/>
    </font>
    <font>
      <i/>
      <sz val="12"/>
      <name val="Arial"/>
      <family val="2"/>
    </font>
    <font>
      <b/>
      <sz val="12"/>
      <name val="Arial MT"/>
    </font>
    <font>
      <b/>
      <i/>
      <sz val="12"/>
      <name val="Arial"/>
      <family val="2"/>
    </font>
    <font>
      <b/>
      <i/>
      <sz val="12"/>
      <name val="Arial MT"/>
    </font>
    <font>
      <sz val="12"/>
      <color indexed="8"/>
      <name val="Arial"/>
      <family val="2"/>
    </font>
    <font>
      <sz val="12"/>
      <name val="Arial MT"/>
    </font>
    <font>
      <b/>
      <sz val="12"/>
      <color indexed="12"/>
      <name val="Arial MT"/>
    </font>
    <font>
      <sz val="12"/>
      <color indexed="12"/>
      <name val="Arial MT"/>
    </font>
    <font>
      <b/>
      <sz val="12"/>
      <color indexed="20"/>
      <name val="Arial MT"/>
    </font>
    <font>
      <sz val="18"/>
      <name val="Arial"/>
      <family val="2"/>
    </font>
    <font>
      <sz val="12"/>
      <color indexed="14"/>
      <name val="Arial MT"/>
    </font>
    <font>
      <sz val="10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 MT"/>
    </font>
    <font>
      <b/>
      <sz val="12"/>
      <color indexed="9"/>
      <name val="Arial"/>
      <family val="2"/>
    </font>
    <font>
      <b/>
      <sz val="10"/>
      <color indexed="81"/>
      <name val="Tahoma"/>
      <family val="2"/>
    </font>
    <font>
      <sz val="12"/>
      <name val="Arial Unicode MS"/>
      <family val="2"/>
    </font>
    <font>
      <b/>
      <sz val="22"/>
      <name val="Arial Unicode MS"/>
      <family val="2"/>
    </font>
    <font>
      <i/>
      <sz val="14"/>
      <name val="Arial Unicode MS"/>
      <family val="2"/>
    </font>
    <font>
      <sz val="19"/>
      <name val="Arial Unicode MS"/>
      <family val="2"/>
    </font>
    <font>
      <b/>
      <sz val="19"/>
      <name val="Arial Unicode MS"/>
      <family val="2"/>
    </font>
    <font>
      <b/>
      <sz val="16"/>
      <name val="Arial Unicode MS"/>
      <family val="2"/>
    </font>
    <font>
      <sz val="16"/>
      <name val="Arial Unicode MS"/>
      <family val="2"/>
    </font>
    <font>
      <sz val="14"/>
      <name val="Arial Unicode MS"/>
      <family val="2"/>
    </font>
    <font>
      <b/>
      <sz val="12"/>
      <name val="Arial Unicode MS"/>
      <family val="2"/>
    </font>
    <font>
      <sz val="9"/>
      <name val="Arial Unicode MS"/>
      <family val="2"/>
    </font>
    <font>
      <sz val="11"/>
      <name val="Arial Unicode MS"/>
      <family val="2"/>
    </font>
    <font>
      <b/>
      <sz val="14"/>
      <name val="Arial Unicode MS"/>
      <family val="2"/>
    </font>
    <font>
      <b/>
      <sz val="25"/>
      <name val="Arial Unicode MS"/>
      <family val="2"/>
    </font>
    <font>
      <sz val="10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sz val="12"/>
      <name val="Arial"/>
      <family val="2"/>
    </font>
    <font>
      <b/>
      <sz val="22.5"/>
      <name val="Calibri"/>
      <family val="2"/>
      <scheme val="minor"/>
    </font>
    <font>
      <b/>
      <sz val="12.5"/>
      <name val="Calibri"/>
      <family val="2"/>
      <scheme val="minor"/>
    </font>
    <font>
      <sz val="12.5"/>
      <name val="Calibri"/>
      <family val="2"/>
      <scheme val="minor"/>
    </font>
    <font>
      <b/>
      <sz val="20"/>
      <name val="Calibri"/>
      <family val="2"/>
      <scheme val="minor"/>
    </font>
    <font>
      <b/>
      <sz val="17.5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32.700000000000003"/>
      <name val="Calibri"/>
      <family val="2"/>
      <scheme val="minor"/>
    </font>
    <font>
      <b/>
      <sz val="29"/>
      <name val="Calibri"/>
      <family val="2"/>
      <scheme val="minor"/>
    </font>
    <font>
      <b/>
      <sz val="25.5"/>
      <name val="Calibri"/>
      <family val="2"/>
      <scheme val="minor"/>
    </font>
    <font>
      <b/>
      <sz val="21.8"/>
      <name val="Calibri"/>
      <family val="2"/>
      <scheme val="minor"/>
    </font>
    <font>
      <b/>
      <sz val="32"/>
      <name val="Calibri"/>
      <family val="2"/>
      <scheme val="minor"/>
    </font>
    <font>
      <sz val="17"/>
      <name val="Calibri"/>
      <family val="2"/>
      <scheme val="minor"/>
    </font>
    <font>
      <b/>
      <sz val="28"/>
      <name val="Calibri"/>
      <family val="2"/>
      <scheme val="minor"/>
    </font>
    <font>
      <b/>
      <sz val="25"/>
      <name val="Calibri"/>
      <family val="2"/>
      <scheme val="minor"/>
    </font>
    <font>
      <b/>
      <sz val="17"/>
      <name val="Calibri"/>
      <family val="2"/>
      <scheme val="minor"/>
    </font>
    <font>
      <b/>
      <sz val="22"/>
      <name val="Calibri"/>
      <family val="2"/>
      <scheme val="minor"/>
    </font>
    <font>
      <b/>
      <sz val="2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32.5"/>
      <name val="Calibri"/>
      <family val="2"/>
      <scheme val="minor"/>
    </font>
    <font>
      <b/>
      <sz val="15"/>
      <color indexed="10"/>
      <name val="Calibri"/>
      <family val="2"/>
      <scheme val="minor"/>
    </font>
    <font>
      <sz val="15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21.6"/>
      <name val="Calibri"/>
      <family val="2"/>
      <scheme val="minor"/>
    </font>
    <font>
      <b/>
      <sz val="16.8"/>
      <name val="Calibri"/>
      <family val="2"/>
      <scheme val="minor"/>
    </font>
    <font>
      <b/>
      <sz val="14.5"/>
      <name val="Calibri"/>
      <family val="2"/>
      <scheme val="minor"/>
    </font>
    <font>
      <i/>
      <sz val="11"/>
      <name val="Calibri"/>
      <family val="2"/>
      <scheme val="minor"/>
    </font>
    <font>
      <b/>
      <sz val="21.5"/>
      <name val="Calibri"/>
      <family val="2"/>
      <scheme val="minor"/>
    </font>
    <font>
      <sz val="13.5"/>
      <name val="Calibri"/>
      <family val="2"/>
      <scheme val="minor"/>
    </font>
    <font>
      <b/>
      <sz val="13.5"/>
      <name val="Calibri"/>
      <family val="2"/>
      <scheme val="minor"/>
    </font>
    <font>
      <sz val="15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5"/>
      <color theme="0" tint="-0.34998626667073579"/>
      <name val="Calibri"/>
      <family val="2"/>
      <scheme val="minor"/>
    </font>
    <font>
      <sz val="12.5"/>
      <color theme="0" tint="-0.34998626667073579"/>
      <name val="Calibri"/>
      <family val="2"/>
      <scheme val="minor"/>
    </font>
    <font>
      <b/>
      <sz val="12.5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fgColor indexed="4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0" fillId="0" borderId="0"/>
  </cellStyleXfs>
  <cellXfs count="692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4" fillId="0" borderId="0" xfId="0" applyNumberFormat="1" applyFont="1" applyAlignment="1"/>
    <xf numFmtId="4" fontId="0" fillId="0" borderId="0" xfId="0" applyNumberFormat="1"/>
    <xf numFmtId="4" fontId="4" fillId="0" borderId="0" xfId="0" applyNumberFormat="1" applyFont="1" applyAlignment="1"/>
    <xf numFmtId="0" fontId="0" fillId="0" borderId="4" xfId="0" applyNumberFormat="1" applyBorder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2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13" fillId="0" borderId="0" xfId="0" applyNumberFormat="1" applyFont="1" applyAlignment="1"/>
    <xf numFmtId="0" fontId="12" fillId="2" borderId="0" xfId="0" applyNumberFormat="1" applyFont="1" applyFill="1" applyAlignment="1"/>
    <xf numFmtId="0" fontId="12" fillId="0" borderId="0" xfId="0" applyNumberFormat="1" applyFont="1" applyAlignment="1"/>
    <xf numFmtId="0" fontId="12" fillId="0" borderId="1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0" fontId="12" fillId="2" borderId="1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/>
    <xf numFmtId="0" fontId="12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5" fillId="2" borderId="1" xfId="0" applyNumberFormat="1" applyFont="1" applyFill="1" applyBorder="1" applyAlignment="1"/>
    <xf numFmtId="0" fontId="15" fillId="2" borderId="2" xfId="0" applyNumberFormat="1" applyFont="1" applyFill="1" applyBorder="1" applyAlignment="1"/>
    <xf numFmtId="0" fontId="0" fillId="0" borderId="0" xfId="0" applyNumberFormat="1" applyBorder="1"/>
    <xf numFmtId="4" fontId="0" fillId="0" borderId="2" xfId="0" applyNumberFormat="1" applyBorder="1"/>
    <xf numFmtId="4" fontId="0" fillId="0" borderId="4" xfId="0" applyNumberFormat="1" applyBorder="1"/>
    <xf numFmtId="3" fontId="15" fillId="2" borderId="1" xfId="0" applyNumberFormat="1" applyFont="1" applyFill="1" applyBorder="1" applyAlignment="1"/>
    <xf numFmtId="10" fontId="15" fillId="2" borderId="2" xfId="0" applyNumberFormat="1" applyFont="1" applyFill="1" applyBorder="1" applyAlignment="1"/>
    <xf numFmtId="1" fontId="0" fillId="0" borderId="3" xfId="0" applyNumberFormat="1" applyBorder="1"/>
    <xf numFmtId="1" fontId="0" fillId="0" borderId="0" xfId="0" applyNumberFormat="1"/>
    <xf numFmtId="1" fontId="0" fillId="0" borderId="0" xfId="0" applyNumberFormat="1" applyBorder="1"/>
    <xf numFmtId="0" fontId="16" fillId="0" borderId="0" xfId="0" applyNumberFormat="1" applyFont="1" applyAlignment="1"/>
    <xf numFmtId="4" fontId="17" fillId="0" borderId="1" xfId="0" applyNumberFormat="1" applyFont="1" applyBorder="1" applyAlignment="1"/>
    <xf numFmtId="4" fontId="17" fillId="0" borderId="2" xfId="0" applyNumberFormat="1" applyFont="1" applyBorder="1" applyAlignment="1"/>
    <xf numFmtId="0" fontId="18" fillId="0" borderId="3" xfId="0" applyNumberFormat="1" applyFont="1" applyBorder="1" applyAlignment="1"/>
    <xf numFmtId="4" fontId="17" fillId="0" borderId="6" xfId="0" applyNumberFormat="1" applyFont="1" applyBorder="1" applyAlignment="1"/>
    <xf numFmtId="4" fontId="0" fillId="0" borderId="0" xfId="0" applyNumberFormat="1" applyBorder="1"/>
    <xf numFmtId="0" fontId="4" fillId="0" borderId="0" xfId="0" applyNumberFormat="1" applyFont="1" applyBorder="1" applyAlignment="1"/>
    <xf numFmtId="4" fontId="17" fillId="0" borderId="3" xfId="0" applyNumberFormat="1" applyFont="1" applyBorder="1" applyAlignment="1"/>
    <xf numFmtId="4" fontId="17" fillId="0" borderId="0" xfId="0" applyNumberFormat="1" applyFont="1" applyAlignment="1"/>
    <xf numFmtId="0" fontId="18" fillId="0" borderId="8" xfId="0" applyNumberFormat="1" applyFont="1" applyBorder="1" applyAlignment="1"/>
    <xf numFmtId="4" fontId="12" fillId="0" borderId="9" xfId="0" applyNumberFormat="1" applyFont="1" applyBorder="1" applyAlignment="1"/>
    <xf numFmtId="4" fontId="19" fillId="3" borderId="10" xfId="0" applyNumberFormat="1" applyFont="1" applyFill="1" applyBorder="1" applyAlignment="1"/>
    <xf numFmtId="4" fontId="12" fillId="0" borderId="11" xfId="0" applyNumberFormat="1" applyFont="1" applyBorder="1" applyAlignment="1"/>
    <xf numFmtId="4" fontId="12" fillId="0" borderId="0" xfId="0" applyNumberFormat="1" applyFont="1" applyBorder="1" applyAlignment="1"/>
    <xf numFmtId="0" fontId="0" fillId="0" borderId="12" xfId="0" applyNumberFormat="1" applyBorder="1"/>
    <xf numFmtId="0" fontId="0" fillId="0" borderId="13" xfId="0" applyNumberFormat="1" applyBorder="1"/>
    <xf numFmtId="4" fontId="12" fillId="0" borderId="13" xfId="0" applyNumberFormat="1" applyFont="1" applyBorder="1" applyAlignment="1"/>
    <xf numFmtId="4" fontId="12" fillId="0" borderId="14" xfId="0" applyNumberFormat="1" applyFont="1" applyBorder="1" applyAlignment="1"/>
    <xf numFmtId="4" fontId="12" fillId="0" borderId="15" xfId="0" applyNumberFormat="1" applyFont="1" applyBorder="1" applyAlignment="1"/>
    <xf numFmtId="4" fontId="16" fillId="0" borderId="16" xfId="0" applyNumberFormat="1" applyFont="1" applyBorder="1" applyAlignment="1"/>
    <xf numFmtId="4" fontId="16" fillId="0" borderId="17" xfId="0" applyNumberFormat="1" applyFont="1" applyBorder="1" applyAlignment="1"/>
    <xf numFmtId="0" fontId="3" fillId="0" borderId="0" xfId="0" applyNumberFormat="1" applyFont="1" applyBorder="1" applyAlignment="1"/>
    <xf numFmtId="4" fontId="16" fillId="0" borderId="18" xfId="0" applyNumberFormat="1" applyFont="1" applyBorder="1" applyAlignment="1"/>
    <xf numFmtId="4" fontId="16" fillId="0" borderId="15" xfId="0" applyNumberFormat="1" applyFont="1" applyBorder="1" applyAlignment="1"/>
    <xf numFmtId="4" fontId="12" fillId="0" borderId="19" xfId="0" applyNumberFormat="1" applyFont="1" applyBorder="1" applyAlignment="1"/>
    <xf numFmtId="4" fontId="12" fillId="4" borderId="0" xfId="0" applyNumberFormat="1" applyFont="1" applyFill="1" applyBorder="1" applyAlignment="1"/>
    <xf numFmtId="4" fontId="0" fillId="0" borderId="0" xfId="0" applyNumberFormat="1" applyFill="1" applyBorder="1"/>
    <xf numFmtId="4" fontId="12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19" fillId="0" borderId="0" xfId="0" applyNumberFormat="1" applyFont="1" applyFill="1" applyBorder="1" applyAlignment="1"/>
    <xf numFmtId="0" fontId="0" fillId="0" borderId="0" xfId="0" applyNumberFormat="1" applyFill="1" applyBorder="1"/>
    <xf numFmtId="0" fontId="20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1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2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0" fillId="0" borderId="19" xfId="0" applyNumberFormat="1" applyBorder="1"/>
    <xf numFmtId="4" fontId="16" fillId="0" borderId="20" xfId="0" applyNumberFormat="1" applyFont="1" applyBorder="1" applyAlignment="1"/>
    <xf numFmtId="0" fontId="25" fillId="0" borderId="0" xfId="0" applyNumberFormat="1" applyFont="1" applyAlignment="1">
      <alignment horizontal="left"/>
    </xf>
    <xf numFmtId="0" fontId="12" fillId="0" borderId="21" xfId="0" applyNumberFormat="1" applyFont="1" applyBorder="1" applyAlignment="1">
      <alignment horizontal="center"/>
    </xf>
    <xf numFmtId="0" fontId="9" fillId="5" borderId="0" xfId="0" applyNumberFormat="1" applyFont="1" applyFill="1" applyAlignment="1">
      <alignment horizontal="center"/>
    </xf>
    <xf numFmtId="4" fontId="24" fillId="0" borderId="0" xfId="0" applyNumberFormat="1" applyFont="1" applyAlignment="1"/>
    <xf numFmtId="0" fontId="26" fillId="6" borderId="0" xfId="0" applyNumberFormat="1" applyFont="1" applyFill="1" applyAlignment="1"/>
    <xf numFmtId="0" fontId="24" fillId="0" borderId="0" xfId="0" applyNumberFormat="1" applyFont="1" applyBorder="1" applyAlignment="1"/>
    <xf numFmtId="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/>
    <xf numFmtId="0" fontId="0" fillId="0" borderId="0" xfId="0" applyNumberFormat="1" applyFont="1" applyFill="1" applyAlignment="1">
      <alignment horizontal="centerContinuous"/>
    </xf>
    <xf numFmtId="0" fontId="0" fillId="0" borderId="2" xfId="0" applyNumberFormat="1" applyFont="1" applyBorder="1" applyAlignment="1"/>
    <xf numFmtId="0" fontId="0" fillId="0" borderId="0" xfId="0" applyNumberFormat="1" applyAlignment="1"/>
    <xf numFmtId="0" fontId="0" fillId="0" borderId="23" xfId="0" applyNumberFormat="1" applyFont="1" applyBorder="1" applyAlignment="1"/>
    <xf numFmtId="0" fontId="0" fillId="0" borderId="3" xfId="0" applyNumberFormat="1" applyFont="1" applyBorder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/>
    <xf numFmtId="10" fontId="0" fillId="2" borderId="0" xfId="0" applyNumberFormat="1" applyFont="1" applyFill="1" applyAlignment="1"/>
    <xf numFmtId="1" fontId="0" fillId="0" borderId="3" xfId="0" applyNumberFormat="1" applyFont="1" applyBorder="1" applyAlignment="1"/>
    <xf numFmtId="3" fontId="0" fillId="0" borderId="3" xfId="0" applyNumberFormat="1" applyFont="1" applyBorder="1" applyAlignment="1"/>
    <xf numFmtId="10" fontId="0" fillId="0" borderId="3" xfId="0" applyNumberFormat="1" applyFont="1" applyBorder="1" applyAlignment="1"/>
    <xf numFmtId="0" fontId="0" fillId="2" borderId="0" xfId="0" applyNumberFormat="1" applyFont="1" applyFill="1" applyAlignment="1"/>
    <xf numFmtId="4" fontId="0" fillId="0" borderId="3" xfId="0" applyNumberFormat="1" applyFont="1" applyFill="1" applyBorder="1" applyAlignment="1"/>
    <xf numFmtId="4" fontId="0" fillId="0" borderId="3" xfId="0" applyNumberFormat="1" applyFont="1" applyBorder="1" applyAlignment="1"/>
    <xf numFmtId="4" fontId="0" fillId="0" borderId="7" xfId="0" applyNumberFormat="1" applyFont="1" applyBorder="1" applyAlignment="1"/>
    <xf numFmtId="0" fontId="0" fillId="0" borderId="0" xfId="0" applyNumberFormat="1" applyFont="1" applyBorder="1" applyAlignment="1"/>
    <xf numFmtId="4" fontId="0" fillId="0" borderId="0" xfId="0" applyNumberFormat="1" applyFont="1" applyAlignment="1"/>
    <xf numFmtId="1" fontId="0" fillId="0" borderId="1" xfId="0" applyNumberFormat="1" applyFont="1" applyBorder="1" applyAlignment="1"/>
    <xf numFmtId="3" fontId="0" fillId="0" borderId="1" xfId="0" applyNumberFormat="1" applyFont="1" applyBorder="1" applyAlignment="1"/>
    <xf numFmtId="3" fontId="0" fillId="2" borderId="1" xfId="0" applyNumberFormat="1" applyFont="1" applyFill="1" applyBorder="1" applyAlignment="1"/>
    <xf numFmtId="10" fontId="0" fillId="2" borderId="2" xfId="0" applyNumberFormat="1" applyFont="1" applyFill="1" applyBorder="1" applyAlignment="1"/>
    <xf numFmtId="10" fontId="0" fillId="0" borderId="1" xfId="0" applyNumberFormat="1" applyFont="1" applyBorder="1" applyAlignment="1"/>
    <xf numFmtId="1" fontId="0" fillId="2" borderId="0" xfId="0" applyNumberFormat="1" applyFont="1" applyFill="1" applyAlignment="1"/>
    <xf numFmtId="4" fontId="0" fillId="0" borderId="1" xfId="0" applyNumberFormat="1" applyFont="1" applyBorder="1" applyAlignment="1"/>
    <xf numFmtId="4" fontId="0" fillId="0" borderId="24" xfId="0" applyNumberFormat="1" applyFont="1" applyBorder="1" applyAlignment="1"/>
    <xf numFmtId="4" fontId="0" fillId="0" borderId="2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4" fontId="23" fillId="0" borderId="2" xfId="0" applyNumberFormat="1" applyFont="1" applyBorder="1" applyAlignment="1"/>
    <xf numFmtId="41" fontId="0" fillId="0" borderId="0" xfId="0" applyNumberFormat="1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0" xfId="0" applyNumberFormat="1" applyFont="1" applyBorder="1" applyAlignment="1"/>
    <xf numFmtId="4" fontId="0" fillId="0" borderId="10" xfId="0" applyNumberFormat="1" applyFont="1" applyBorder="1" applyAlignment="1"/>
    <xf numFmtId="0" fontId="0" fillId="0" borderId="13" xfId="0" applyNumberFormat="1" applyFont="1" applyBorder="1" applyAlignment="1"/>
    <xf numFmtId="4" fontId="0" fillId="0" borderId="25" xfId="0" applyNumberFormat="1" applyFont="1" applyBorder="1" applyAlignment="1"/>
    <xf numFmtId="4" fontId="0" fillId="0" borderId="26" xfId="0" applyNumberFormat="1" applyFont="1" applyBorder="1" applyAlignment="1"/>
    <xf numFmtId="165" fontId="0" fillId="0" borderId="0" xfId="0" applyNumberFormat="1" applyFont="1" applyBorder="1" applyAlignment="1">
      <alignment horizontal="left"/>
    </xf>
    <xf numFmtId="165" fontId="0" fillId="0" borderId="15" xfId="0" applyNumberFormat="1" applyFont="1" applyBorder="1" applyAlignment="1">
      <alignment horizontal="left"/>
    </xf>
    <xf numFmtId="4" fontId="0" fillId="0" borderId="27" xfId="0" applyNumberFormat="1" applyFont="1" applyBorder="1" applyAlignment="1"/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Alignment="1"/>
    <xf numFmtId="4" fontId="0" fillId="0" borderId="28" xfId="0" applyNumberFormat="1" applyFont="1" applyBorder="1" applyAlignment="1"/>
    <xf numFmtId="4" fontId="0" fillId="0" borderId="19" xfId="0" applyNumberFormat="1" applyFont="1" applyBorder="1" applyAlignment="1"/>
    <xf numFmtId="0" fontId="0" fillId="4" borderId="0" xfId="0" applyNumberFormat="1" applyFont="1" applyFill="1" applyAlignment="1"/>
    <xf numFmtId="0" fontId="0" fillId="4" borderId="0" xfId="0" applyNumberFormat="1" applyFont="1" applyFill="1" applyBorder="1" applyAlignment="1"/>
    <xf numFmtId="4" fontId="0" fillId="4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4" fontId="0" fillId="0" borderId="3" xfId="0" applyNumberFormat="1" applyBorder="1" applyAlignment="1"/>
    <xf numFmtId="0" fontId="0" fillId="0" borderId="3" xfId="0" applyNumberFormat="1" applyFont="1" applyFill="1" applyBorder="1" applyAlignment="1"/>
    <xf numFmtId="0" fontId="23" fillId="0" borderId="3" xfId="0" applyNumberFormat="1" applyFont="1" applyBorder="1" applyAlignment="1"/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43" fontId="28" fillId="0" borderId="22" xfId="1" applyFont="1" applyFill="1" applyBorder="1" applyAlignment="1"/>
    <xf numFmtId="41" fontId="28" fillId="0" borderId="0" xfId="0" applyNumberFormat="1" applyFont="1" applyFill="1" applyBorder="1" applyAlignment="1"/>
    <xf numFmtId="0" fontId="29" fillId="0" borderId="0" xfId="0" applyNumberFormat="1" applyFont="1" applyAlignment="1">
      <alignment horizontal="centerContinuous"/>
    </xf>
    <xf numFmtId="3" fontId="40" fillId="0" borderId="0" xfId="0" applyNumberFormat="1" applyFont="1" applyAlignment="1">
      <alignment horizontal="centerContinuous"/>
    </xf>
    <xf numFmtId="0" fontId="28" fillId="0" borderId="0" xfId="0" applyNumberFormat="1" applyFont="1" applyAlignment="1"/>
    <xf numFmtId="3" fontId="36" fillId="0" borderId="0" xfId="0" applyNumberFormat="1" applyFont="1" applyAlignment="1"/>
    <xf numFmtId="3" fontId="30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Continuous"/>
    </xf>
    <xf numFmtId="3" fontId="32" fillId="0" borderId="0" xfId="0" applyNumberFormat="1" applyFont="1" applyAlignment="1">
      <alignment horizontal="centerContinuous"/>
    </xf>
    <xf numFmtId="3" fontId="32" fillId="0" borderId="0" xfId="0" applyNumberFormat="1" applyFont="1" applyAlignment="1"/>
    <xf numFmtId="0" fontId="31" fillId="0" borderId="0" xfId="0" applyNumberFormat="1" applyFont="1" applyAlignment="1"/>
    <xf numFmtId="3" fontId="28" fillId="0" borderId="0" xfId="0" applyNumberFormat="1" applyFont="1" applyAlignment="1"/>
    <xf numFmtId="41" fontId="28" fillId="0" borderId="0" xfId="0" applyNumberFormat="1" applyFont="1" applyAlignment="1"/>
    <xf numFmtId="0" fontId="41" fillId="0" borderId="0" xfId="0" applyNumberFormat="1" applyFont="1" applyAlignment="1"/>
    <xf numFmtId="0" fontId="41" fillId="0" borderId="0" xfId="0" applyNumberFormat="1" applyFont="1" applyBorder="1" applyAlignment="1"/>
    <xf numFmtId="3" fontId="41" fillId="0" borderId="0" xfId="0" applyNumberFormat="1" applyFont="1" applyBorder="1" applyAlignment="1"/>
    <xf numFmtId="0" fontId="28" fillId="0" borderId="0" xfId="0" applyNumberFormat="1" applyFont="1" applyBorder="1" applyAlignment="1"/>
    <xf numFmtId="3" fontId="37" fillId="0" borderId="0" xfId="0" applyNumberFormat="1" applyFont="1" applyBorder="1" applyAlignment="1"/>
    <xf numFmtId="3" fontId="41" fillId="0" borderId="0" xfId="0" applyNumberFormat="1" applyFont="1" applyAlignment="1"/>
    <xf numFmtId="0" fontId="28" fillId="0" borderId="0" xfId="0" applyNumberFormat="1" applyFont="1" applyAlignment="1">
      <alignment horizontal="centerContinuous"/>
    </xf>
    <xf numFmtId="3" fontId="35" fillId="0" borderId="0" xfId="0" applyNumberFormat="1" applyFont="1" applyAlignment="1"/>
    <xf numFmtId="0" fontId="35" fillId="0" borderId="0" xfId="0" applyNumberFormat="1" applyFont="1" applyAlignment="1"/>
    <xf numFmtId="3" fontId="39" fillId="0" borderId="18" xfId="0" applyNumberFormat="1" applyFont="1" applyBorder="1" applyAlignment="1">
      <alignment horizontal="center"/>
    </xf>
    <xf numFmtId="3" fontId="39" fillId="0" borderId="29" xfId="0" applyNumberFormat="1" applyFont="1" applyBorder="1" applyAlignment="1">
      <alignment horizontal="center"/>
    </xf>
    <xf numFmtId="0" fontId="28" fillId="0" borderId="0" xfId="0" applyNumberFormat="1" applyFont="1" applyAlignment="1">
      <alignment horizontal="center"/>
    </xf>
    <xf numFmtId="42" fontId="28" fillId="0" borderId="0" xfId="0" applyNumberFormat="1" applyFont="1" applyFill="1" applyBorder="1" applyAlignment="1"/>
    <xf numFmtId="3" fontId="28" fillId="0" borderId="0" xfId="0" applyNumberFormat="1" applyFont="1" applyBorder="1" applyAlignment="1"/>
    <xf numFmtId="3" fontId="30" fillId="0" borderId="0" xfId="0" applyNumberFormat="1" applyFont="1" applyAlignment="1">
      <alignment horizontal="centerContinuous"/>
    </xf>
    <xf numFmtId="3" fontId="33" fillId="0" borderId="0" xfId="0" applyNumberFormat="1" applyFont="1" applyAlignment="1">
      <alignment vertical="top"/>
    </xf>
    <xf numFmtId="0" fontId="34" fillId="0" borderId="0" xfId="0" applyNumberFormat="1" applyFont="1" applyAlignment="1">
      <alignment vertical="top"/>
    </xf>
    <xf numFmtId="0" fontId="34" fillId="0" borderId="0" xfId="0" applyNumberFormat="1" applyFont="1" applyAlignment="1">
      <alignment horizontal="centerContinuous" vertical="center"/>
    </xf>
    <xf numFmtId="0" fontId="32" fillId="0" borderId="0" xfId="0" applyNumberFormat="1" applyFont="1" applyAlignment="1">
      <alignment horizontal="centerContinuous" vertical="center"/>
    </xf>
    <xf numFmtId="3" fontId="28" fillId="0" borderId="18" xfId="0" applyNumberFormat="1" applyFont="1" applyBorder="1" applyAlignment="1">
      <alignment horizontal="center"/>
    </xf>
    <xf numFmtId="0" fontId="28" fillId="0" borderId="0" xfId="0" applyNumberFormat="1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0" fontId="39" fillId="0" borderId="33" xfId="0" applyNumberFormat="1" applyFont="1" applyBorder="1" applyAlignment="1">
      <alignment horizontal="center"/>
    </xf>
    <xf numFmtId="3" fontId="39" fillId="0" borderId="33" xfId="0" applyNumberFormat="1" applyFont="1" applyBorder="1" applyAlignment="1">
      <alignment horizontal="center"/>
    </xf>
    <xf numFmtId="0" fontId="39" fillId="0" borderId="34" xfId="0" applyNumberFormat="1" applyFont="1" applyBorder="1" applyAlignment="1">
      <alignment horizontal="center"/>
    </xf>
    <xf numFmtId="3" fontId="39" fillId="0" borderId="34" xfId="0" applyNumberFormat="1" applyFont="1" applyBorder="1" applyAlignment="1">
      <alignment horizontal="center"/>
    </xf>
    <xf numFmtId="0" fontId="39" fillId="0" borderId="32" xfId="0" applyNumberFormat="1" applyFont="1" applyBorder="1" applyAlignment="1">
      <alignment horizontal="left" wrapText="1"/>
    </xf>
    <xf numFmtId="42" fontId="39" fillId="0" borderId="32" xfId="0" applyNumberFormat="1" applyFont="1" applyBorder="1" applyAlignment="1"/>
    <xf numFmtId="37" fontId="41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3" fontId="42" fillId="0" borderId="30" xfId="0" applyNumberFormat="1" applyFont="1" applyBorder="1" applyAlignment="1">
      <alignment horizontal="center"/>
    </xf>
    <xf numFmtId="10" fontId="38" fillId="0" borderId="0" xfId="0" applyNumberFormat="1" applyFont="1" applyFill="1" applyAlignment="1"/>
    <xf numFmtId="10" fontId="38" fillId="0" borderId="0" xfId="0" applyNumberFormat="1" applyFont="1" applyAlignment="1"/>
    <xf numFmtId="3" fontId="42" fillId="0" borderId="35" xfId="0" applyNumberFormat="1" applyFont="1" applyBorder="1" applyAlignment="1">
      <alignment horizontal="center"/>
    </xf>
    <xf numFmtId="0" fontId="37" fillId="0" borderId="0" xfId="0" applyNumberFormat="1" applyFont="1" applyAlignment="1"/>
    <xf numFmtId="0" fontId="35" fillId="0" borderId="33" xfId="0" applyNumberFormat="1" applyFont="1" applyBorder="1" applyAlignment="1"/>
    <xf numFmtId="3" fontId="42" fillId="0" borderId="29" xfId="0" applyNumberFormat="1" applyFont="1" applyBorder="1" applyAlignment="1">
      <alignment horizontal="center"/>
    </xf>
    <xf numFmtId="0" fontId="38" fillId="7" borderId="39" xfId="0" applyNumberFormat="1" applyFont="1" applyFill="1" applyBorder="1" applyAlignment="1"/>
    <xf numFmtId="0" fontId="28" fillId="7" borderId="36" xfId="0" applyNumberFormat="1" applyFont="1" applyFill="1" applyBorder="1" applyAlignment="1"/>
    <xf numFmtId="43" fontId="28" fillId="7" borderId="36" xfId="1" applyFont="1" applyFill="1" applyBorder="1" applyAlignment="1">
      <alignment horizontal="center" wrapText="1"/>
    </xf>
    <xf numFmtId="0" fontId="28" fillId="7" borderId="40" xfId="0" applyNumberFormat="1" applyFont="1" applyFill="1" applyBorder="1" applyAlignment="1"/>
    <xf numFmtId="0" fontId="38" fillId="7" borderId="41" xfId="0" applyNumberFormat="1" applyFont="1" applyFill="1" applyBorder="1" applyAlignment="1"/>
    <xf numFmtId="167" fontId="28" fillId="7" borderId="0" xfId="1" applyNumberFormat="1" applyFont="1" applyFill="1" applyBorder="1" applyAlignment="1"/>
    <xf numFmtId="43" fontId="28" fillId="7" borderId="0" xfId="1" applyFont="1" applyFill="1" applyBorder="1" applyAlignment="1"/>
    <xf numFmtId="167" fontId="28" fillId="7" borderId="42" xfId="1" applyNumberFormat="1" applyFont="1" applyFill="1" applyBorder="1" applyAlignment="1"/>
    <xf numFmtId="37" fontId="28" fillId="7" borderId="0" xfId="0" applyNumberFormat="1" applyFont="1" applyFill="1" applyBorder="1" applyAlignment="1"/>
    <xf numFmtId="0" fontId="28" fillId="7" borderId="0" xfId="0" applyNumberFormat="1" applyFont="1" applyFill="1" applyBorder="1" applyAlignment="1"/>
    <xf numFmtId="43" fontId="38" fillId="7" borderId="41" xfId="0" applyNumberFormat="1" applyFont="1" applyFill="1" applyBorder="1" applyAlignment="1"/>
    <xf numFmtId="43" fontId="38" fillId="7" borderId="41" xfId="0" applyNumberFormat="1" applyFont="1" applyFill="1" applyBorder="1"/>
    <xf numFmtId="167" fontId="28" fillId="7" borderId="41" xfId="0" applyNumberFormat="1" applyFont="1" applyFill="1" applyBorder="1" applyAlignment="1"/>
    <xf numFmtId="167" fontId="28" fillId="7" borderId="32" xfId="1" applyNumberFormat="1" applyFont="1" applyFill="1" applyBorder="1" applyAlignment="1"/>
    <xf numFmtId="167" fontId="28" fillId="7" borderId="43" xfId="1" applyNumberFormat="1" applyFont="1" applyFill="1" applyBorder="1" applyAlignment="1"/>
    <xf numFmtId="43" fontId="28" fillId="7" borderId="41" xfId="1" applyFont="1" applyFill="1" applyBorder="1" applyAlignment="1"/>
    <xf numFmtId="0" fontId="28" fillId="7" borderId="42" xfId="0" applyNumberFormat="1" applyFont="1" applyFill="1" applyBorder="1" applyAlignment="1"/>
    <xf numFmtId="43" fontId="28" fillId="0" borderId="44" xfId="1" applyFont="1" applyFill="1" applyBorder="1" applyAlignment="1"/>
    <xf numFmtId="0" fontId="28" fillId="0" borderId="45" xfId="0" applyNumberFormat="1" applyFont="1" applyFill="1" applyBorder="1" applyAlignment="1"/>
    <xf numFmtId="0" fontId="28" fillId="0" borderId="22" xfId="0" applyNumberFormat="1" applyFont="1" applyFill="1" applyBorder="1" applyAlignment="1"/>
    <xf numFmtId="0" fontId="2" fillId="0" borderId="0" xfId="3" applyFont="1"/>
    <xf numFmtId="0" fontId="2" fillId="0" borderId="0" xfId="3" applyFont="1" applyBorder="1"/>
    <xf numFmtId="0" fontId="2" fillId="0" borderId="0" xfId="3"/>
    <xf numFmtId="0" fontId="2" fillId="0" borderId="0" xfId="3" applyFont="1" applyAlignment="1">
      <alignment horizontal="left" indent="2"/>
    </xf>
    <xf numFmtId="0" fontId="2" fillId="0" borderId="0" xfId="3" applyFont="1" applyBorder="1" applyAlignment="1">
      <alignment horizontal="left" indent="2"/>
    </xf>
    <xf numFmtId="0" fontId="2" fillId="0" borderId="50" xfId="3" applyFont="1" applyBorder="1"/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2" fillId="0" borderId="0" xfId="3" applyBorder="1"/>
    <xf numFmtId="0" fontId="2" fillId="0" borderId="50" xfId="3" applyFont="1" applyBorder="1" applyAlignment="1">
      <alignment horizontal="center"/>
    </xf>
    <xf numFmtId="0" fontId="2" fillId="0" borderId="0" xfId="3" applyAlignment="1"/>
    <xf numFmtId="0" fontId="2" fillId="0" borderId="0" xfId="3" applyFont="1" applyBorder="1" applyAlignment="1">
      <alignment horizontal="center"/>
    </xf>
    <xf numFmtId="0" fontId="2" fillId="0" borderId="0" xfId="3" applyBorder="1" applyAlignment="1">
      <alignment horizontal="center"/>
    </xf>
    <xf numFmtId="0" fontId="38" fillId="7" borderId="41" xfId="3" applyNumberFormat="1" applyFont="1" applyFill="1" applyBorder="1" applyAlignment="1"/>
    <xf numFmtId="0" fontId="46" fillId="0" borderId="0" xfId="0" applyNumberFormat="1" applyFont="1" applyAlignment="1">
      <alignment horizontal="centerContinuous"/>
    </xf>
    <xf numFmtId="0" fontId="47" fillId="0" borderId="0" xfId="0" applyNumberFormat="1" applyFont="1" applyAlignment="1"/>
    <xf numFmtId="0" fontId="49" fillId="0" borderId="0" xfId="0" applyNumberFormat="1" applyFont="1" applyAlignment="1">
      <alignment horizontal="centerContinuous"/>
    </xf>
    <xf numFmtId="10" fontId="47" fillId="0" borderId="0" xfId="2" applyNumberFormat="1" applyFont="1" applyAlignment="1"/>
    <xf numFmtId="0" fontId="50" fillId="0" borderId="0" xfId="0" applyNumberFormat="1" applyFont="1" applyAlignment="1">
      <alignment horizontal="centerContinuous"/>
    </xf>
    <xf numFmtId="0" fontId="47" fillId="0" borderId="0" xfId="0" applyNumberFormat="1" applyFont="1" applyFill="1" applyBorder="1" applyAlignment="1"/>
    <xf numFmtId="0" fontId="47" fillId="0" borderId="0" xfId="0" applyNumberFormat="1" applyFont="1" applyFill="1" applyAlignment="1"/>
    <xf numFmtId="0" fontId="46" fillId="0" borderId="0" xfId="0" applyNumberFormat="1" applyFont="1" applyFill="1" applyBorder="1" applyAlignment="1">
      <alignment horizontal="center"/>
    </xf>
    <xf numFmtId="44" fontId="46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Border="1" applyAlignment="1"/>
    <xf numFmtId="42" fontId="47" fillId="0" borderId="0" xfId="0" applyNumberFormat="1" applyFont="1" applyFill="1" applyBorder="1" applyAlignment="1">
      <alignment horizontal="right"/>
    </xf>
    <xf numFmtId="10" fontId="47" fillId="0" borderId="0" xfId="0" applyNumberFormat="1" applyFont="1" applyAlignment="1"/>
    <xf numFmtId="10" fontId="51" fillId="0" borderId="0" xfId="0" applyNumberFormat="1" applyFont="1" applyAlignment="1"/>
    <xf numFmtId="41" fontId="47" fillId="0" borderId="0" xfId="0" applyNumberFormat="1" applyFont="1" applyFill="1" applyBorder="1" applyAlignment="1"/>
    <xf numFmtId="10" fontId="47" fillId="0" borderId="0" xfId="0" applyNumberFormat="1" applyFont="1" applyFill="1" applyAlignment="1"/>
    <xf numFmtId="0" fontId="47" fillId="0" borderId="0" xfId="0" applyNumberFormat="1" applyFont="1" applyAlignment="1">
      <alignment horizontal="center"/>
    </xf>
    <xf numFmtId="166" fontId="46" fillId="0" borderId="48" xfId="0" applyNumberFormat="1" applyFont="1" applyBorder="1" applyAlignment="1"/>
    <xf numFmtId="166" fontId="46" fillId="0" borderId="0" xfId="0" applyNumberFormat="1" applyFont="1" applyFill="1" applyBorder="1" applyAlignment="1"/>
    <xf numFmtId="42" fontId="46" fillId="0" borderId="48" xfId="0" applyNumberFormat="1" applyFont="1" applyFill="1" applyBorder="1" applyAlignment="1"/>
    <xf numFmtId="42" fontId="46" fillId="0" borderId="0" xfId="0" applyNumberFormat="1" applyFont="1" applyFill="1" applyBorder="1" applyAlignment="1"/>
    <xf numFmtId="10" fontId="46" fillId="0" borderId="48" xfId="0" applyNumberFormat="1" applyFont="1" applyFill="1" applyBorder="1" applyAlignment="1"/>
    <xf numFmtId="42" fontId="47" fillId="0" borderId="0" xfId="0" applyNumberFormat="1" applyFont="1" applyAlignment="1"/>
    <xf numFmtId="0" fontId="46" fillId="0" borderId="0" xfId="0" applyNumberFormat="1" applyFont="1" applyFill="1" applyAlignment="1">
      <alignment horizontal="centerContinuous"/>
    </xf>
    <xf numFmtId="167" fontId="47" fillId="0" borderId="0" xfId="1" applyNumberFormat="1" applyFont="1" applyAlignment="1">
      <alignment horizontal="center"/>
    </xf>
    <xf numFmtId="0" fontId="47" fillId="0" borderId="0" xfId="0" applyNumberFormat="1" applyFont="1" applyAlignment="1">
      <alignment horizontal="right"/>
    </xf>
    <xf numFmtId="167" fontId="47" fillId="0" borderId="0" xfId="1" applyNumberFormat="1" applyFont="1" applyAlignment="1"/>
    <xf numFmtId="168" fontId="47" fillId="0" borderId="0" xfId="0" applyNumberFormat="1" applyFont="1" applyBorder="1" applyAlignment="1"/>
    <xf numFmtId="10" fontId="47" fillId="0" borderId="0" xfId="0" applyNumberFormat="1" applyFont="1" applyBorder="1" applyAlignment="1"/>
    <xf numFmtId="0" fontId="47" fillId="0" borderId="52" xfId="0" applyNumberFormat="1" applyFont="1" applyBorder="1" applyAlignment="1"/>
    <xf numFmtId="42" fontId="47" fillId="0" borderId="52" xfId="0" applyNumberFormat="1" applyFont="1" applyFill="1" applyBorder="1" applyAlignment="1">
      <alignment horizontal="right"/>
    </xf>
    <xf numFmtId="41" fontId="47" fillId="0" borderId="52" xfId="0" applyNumberFormat="1" applyFont="1" applyFill="1" applyBorder="1" applyAlignment="1"/>
    <xf numFmtId="10" fontId="47" fillId="0" borderId="52" xfId="0" applyNumberFormat="1" applyFont="1" applyFill="1" applyBorder="1" applyAlignment="1"/>
    <xf numFmtId="0" fontId="47" fillId="0" borderId="46" xfId="0" applyNumberFormat="1" applyFont="1" applyFill="1" applyBorder="1" applyAlignment="1">
      <alignment horizontal="center"/>
    </xf>
    <xf numFmtId="44" fontId="47" fillId="0" borderId="46" xfId="0" applyNumberFormat="1" applyFont="1" applyFill="1" applyBorder="1" applyAlignment="1">
      <alignment horizontal="center" wrapText="1"/>
    </xf>
    <xf numFmtId="0" fontId="52" fillId="0" borderId="0" xfId="0" applyFont="1" applyAlignment="1">
      <alignment horizontal="centerContinuous"/>
    </xf>
    <xf numFmtId="0" fontId="51" fillId="0" borderId="0" xfId="0" applyFont="1" applyFill="1" applyBorder="1" applyAlignment="1">
      <alignment horizontal="centerContinuous"/>
    </xf>
    <xf numFmtId="0" fontId="51" fillId="0" borderId="0" xfId="0" applyFont="1" applyAlignment="1">
      <alignment horizontal="centerContinuous"/>
    </xf>
    <xf numFmtId="0" fontId="51" fillId="0" borderId="0" xfId="0" applyFont="1"/>
    <xf numFmtId="0" fontId="53" fillId="0" borderId="0" xfId="0" applyFont="1" applyAlignment="1">
      <alignment horizontal="centerContinuous"/>
    </xf>
    <xf numFmtId="0" fontId="54" fillId="0" borderId="0" xfId="0" applyFont="1" applyAlignment="1">
      <alignment horizontal="centerContinuous"/>
    </xf>
    <xf numFmtId="0" fontId="55" fillId="0" borderId="0" xfId="0" applyFont="1" applyAlignment="1">
      <alignment horizontal="centerContinuous"/>
    </xf>
    <xf numFmtId="0" fontId="51" fillId="0" borderId="0" xfId="0" applyNumberFormat="1" applyFont="1" applyAlignment="1">
      <alignment horizontal="centerContinuous"/>
    </xf>
    <xf numFmtId="0" fontId="51" fillId="0" borderId="0" xfId="0" applyNumberFormat="1" applyFont="1" applyFill="1" applyBorder="1" applyAlignment="1">
      <alignment horizontal="centerContinuous"/>
    </xf>
    <xf numFmtId="0" fontId="51" fillId="0" borderId="0" xfId="0" applyNumberFormat="1" applyFont="1" applyAlignment="1"/>
    <xf numFmtId="0" fontId="50" fillId="0" borderId="0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/>
    <xf numFmtId="0" fontId="50" fillId="0" borderId="0" xfId="0" applyNumberFormat="1" applyFont="1" applyAlignment="1">
      <alignment horizontal="left"/>
    </xf>
    <xf numFmtId="0" fontId="50" fillId="0" borderId="0" xfId="0" applyNumberFormat="1" applyFont="1" applyAlignment="1"/>
    <xf numFmtId="0" fontId="50" fillId="0" borderId="0" xfId="0" applyNumberFormat="1" applyFont="1" applyFill="1" applyBorder="1" applyAlignment="1"/>
    <xf numFmtId="0" fontId="51" fillId="0" borderId="0" xfId="0" applyNumberFormat="1" applyFont="1" applyBorder="1" applyAlignment="1"/>
    <xf numFmtId="0" fontId="50" fillId="0" borderId="0" xfId="0" applyNumberFormat="1" applyFont="1" applyBorder="1" applyAlignment="1">
      <alignment horizontal="centerContinuous"/>
    </xf>
    <xf numFmtId="0" fontId="50" fillId="0" borderId="0" xfId="0" applyNumberFormat="1" applyFont="1" applyFill="1" applyBorder="1" applyAlignment="1">
      <alignment horizontal="centerContinuous"/>
    </xf>
    <xf numFmtId="44" fontId="50" fillId="0" borderId="0" xfId="0" applyNumberFormat="1" applyFont="1" applyFill="1" applyBorder="1" applyAlignment="1">
      <alignment horizontal="center" wrapText="1"/>
    </xf>
    <xf numFmtId="0" fontId="51" fillId="0" borderId="0" xfId="0" applyNumberFormat="1" applyFont="1" applyFill="1" applyBorder="1" applyAlignment="1">
      <alignment horizontal="left"/>
    </xf>
    <xf numFmtId="44" fontId="51" fillId="0" borderId="0" xfId="0" applyNumberFormat="1" applyFont="1" applyFill="1" applyBorder="1" applyAlignment="1">
      <alignment horizontal="center" wrapText="1"/>
    </xf>
    <xf numFmtId="0" fontId="51" fillId="0" borderId="0" xfId="0" applyNumberFormat="1" applyFont="1" applyFill="1" applyBorder="1" applyAlignment="1">
      <alignment horizontal="right"/>
    </xf>
    <xf numFmtId="42" fontId="51" fillId="0" borderId="0" xfId="0" applyNumberFormat="1" applyFont="1" applyFill="1" applyBorder="1" applyAlignment="1"/>
    <xf numFmtId="10" fontId="51" fillId="0" borderId="0" xfId="2" applyNumberFormat="1" applyFont="1" applyAlignment="1">
      <alignment horizontal="right"/>
    </xf>
    <xf numFmtId="41" fontId="51" fillId="0" borderId="0" xfId="0" applyNumberFormat="1" applyFont="1" applyFill="1" applyBorder="1" applyAlignment="1"/>
    <xf numFmtId="10" fontId="51" fillId="0" borderId="0" xfId="0" applyNumberFormat="1" applyFont="1" applyFill="1" applyAlignment="1"/>
    <xf numFmtId="0" fontId="50" fillId="0" borderId="48" xfId="0" applyNumberFormat="1" applyFont="1" applyBorder="1" applyAlignment="1"/>
    <xf numFmtId="42" fontId="50" fillId="0" borderId="48" xfId="0" applyNumberFormat="1" applyFont="1" applyFill="1" applyBorder="1" applyAlignment="1"/>
    <xf numFmtId="42" fontId="50" fillId="0" borderId="0" xfId="0" applyNumberFormat="1" applyFont="1" applyFill="1" applyBorder="1" applyAlignment="1"/>
    <xf numFmtId="10" fontId="50" fillId="0" borderId="48" xfId="0" applyNumberFormat="1" applyFont="1" applyFill="1" applyBorder="1" applyAlignment="1"/>
    <xf numFmtId="0" fontId="50" fillId="0" borderId="0" xfId="0" applyNumberFormat="1" applyFont="1" applyFill="1" applyAlignment="1">
      <alignment horizontal="centerContinuous"/>
    </xf>
    <xf numFmtId="0" fontId="51" fillId="0" borderId="0" xfId="0" applyNumberFormat="1" applyFont="1" applyFill="1" applyBorder="1" applyAlignment="1">
      <alignment horizontal="center"/>
    </xf>
    <xf numFmtId="0" fontId="51" fillId="0" borderId="0" xfId="0" applyNumberFormat="1" applyFont="1" applyAlignment="1">
      <alignment horizontal="center"/>
    </xf>
    <xf numFmtId="10" fontId="51" fillId="0" borderId="0" xfId="0" applyNumberFormat="1" applyFont="1" applyFill="1" applyBorder="1" applyAlignment="1"/>
    <xf numFmtId="42" fontId="51" fillId="0" borderId="0" xfId="0" applyNumberFormat="1" applyFont="1" applyAlignment="1"/>
    <xf numFmtId="0" fontId="50" fillId="0" borderId="49" xfId="0" applyNumberFormat="1" applyFont="1" applyBorder="1" applyAlignment="1"/>
    <xf numFmtId="42" fontId="50" fillId="0" borderId="49" xfId="0" applyNumberFormat="1" applyFont="1" applyFill="1" applyBorder="1" applyAlignment="1"/>
    <xf numFmtId="10" fontId="50" fillId="0" borderId="49" xfId="0" applyNumberFormat="1" applyFont="1" applyFill="1" applyBorder="1" applyAlignment="1"/>
    <xf numFmtId="0" fontId="51" fillId="0" borderId="0" xfId="0" applyNumberFormat="1" applyFont="1" applyBorder="1" applyAlignment="1">
      <alignment horizontal="center"/>
    </xf>
    <xf numFmtId="10" fontId="51" fillId="0" borderId="0" xfId="0" applyNumberFormat="1" applyFont="1" applyBorder="1" applyAlignment="1"/>
    <xf numFmtId="168" fontId="51" fillId="0" borderId="0" xfId="0" applyNumberFormat="1" applyFont="1" applyBorder="1" applyAlignment="1"/>
    <xf numFmtId="0" fontId="51" fillId="0" borderId="46" xfId="0" applyNumberFormat="1" applyFont="1" applyFill="1" applyBorder="1" applyAlignment="1">
      <alignment horizontal="center"/>
    </xf>
    <xf numFmtId="44" fontId="51" fillId="0" borderId="46" xfId="0" applyNumberFormat="1" applyFont="1" applyFill="1" applyBorder="1" applyAlignment="1">
      <alignment horizontal="center" wrapText="1"/>
    </xf>
    <xf numFmtId="0" fontId="51" fillId="0" borderId="52" xfId="0" applyNumberFormat="1" applyFont="1" applyFill="1" applyBorder="1" applyAlignment="1"/>
    <xf numFmtId="42" fontId="51" fillId="0" borderId="52" xfId="0" applyNumberFormat="1" applyFont="1" applyFill="1" applyBorder="1" applyAlignment="1"/>
    <xf numFmtId="41" fontId="51" fillId="0" borderId="52" xfId="0" applyNumberFormat="1" applyFont="1" applyFill="1" applyBorder="1" applyAlignment="1"/>
    <xf numFmtId="10" fontId="51" fillId="0" borderId="52" xfId="0" applyNumberFormat="1" applyFont="1" applyFill="1" applyBorder="1" applyAlignment="1"/>
    <xf numFmtId="0" fontId="57" fillId="0" borderId="0" xfId="0" applyNumberFormat="1" applyFont="1" applyAlignment="1"/>
    <xf numFmtId="0" fontId="60" fillId="0" borderId="0" xfId="0" applyNumberFormat="1" applyFont="1" applyBorder="1" applyAlignment="1">
      <alignment horizontal="centerContinuous"/>
    </xf>
    <xf numFmtId="3" fontId="60" fillId="0" borderId="0" xfId="0" applyNumberFormat="1" applyFont="1" applyBorder="1" applyAlignment="1">
      <alignment horizontal="centerContinuous"/>
    </xf>
    <xf numFmtId="0" fontId="57" fillId="0" borderId="0" xfId="0" applyNumberFormat="1" applyFont="1" applyAlignment="1">
      <alignment horizontal="left"/>
    </xf>
    <xf numFmtId="0" fontId="60" fillId="0" borderId="0" xfId="0" applyNumberFormat="1" applyFont="1" applyAlignment="1"/>
    <xf numFmtId="0" fontId="60" fillId="0" borderId="0" xfId="0" applyNumberFormat="1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57" fillId="0" borderId="0" xfId="0" applyNumberFormat="1" applyFont="1" applyBorder="1" applyAlignment="1"/>
    <xf numFmtId="3" fontId="60" fillId="0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Alignment="1"/>
    <xf numFmtId="0" fontId="60" fillId="0" borderId="0" xfId="0" applyNumberFormat="1" applyFont="1" applyFill="1" applyAlignment="1">
      <alignment horizontal="center"/>
    </xf>
    <xf numFmtId="0" fontId="60" fillId="0" borderId="46" xfId="0" applyNumberFormat="1" applyFont="1" applyBorder="1" applyAlignment="1">
      <alignment horizontal="left"/>
    </xf>
    <xf numFmtId="3" fontId="60" fillId="0" borderId="46" xfId="0" applyNumberFormat="1" applyFont="1" applyFill="1" applyBorder="1" applyAlignment="1">
      <alignment horizontal="center"/>
    </xf>
    <xf numFmtId="0" fontId="60" fillId="0" borderId="0" xfId="0" applyNumberFormat="1" applyFont="1" applyBorder="1" applyAlignment="1">
      <alignment horizontal="left"/>
    </xf>
    <xf numFmtId="42" fontId="57" fillId="0" borderId="0" xfId="0" applyNumberFormat="1" applyFont="1" applyFill="1" applyBorder="1" applyAlignment="1"/>
    <xf numFmtId="41" fontId="57" fillId="0" borderId="0" xfId="0" applyNumberFormat="1" applyFont="1" applyFill="1" applyBorder="1" applyAlignment="1"/>
    <xf numFmtId="41" fontId="57" fillId="0" borderId="0" xfId="0" applyNumberFormat="1" applyFont="1" applyBorder="1" applyAlignment="1"/>
    <xf numFmtId="0" fontId="60" fillId="0" borderId="0" xfId="0" applyNumberFormat="1" applyFont="1" applyBorder="1" applyAlignment="1">
      <alignment horizontal="left" wrapText="1"/>
    </xf>
    <xf numFmtId="42" fontId="60" fillId="0" borderId="0" xfId="0" applyNumberFormat="1" applyFont="1" applyBorder="1" applyAlignment="1"/>
    <xf numFmtId="42" fontId="60" fillId="0" borderId="47" xfId="0" applyNumberFormat="1" applyFont="1" applyFill="1" applyBorder="1" applyAlignment="1"/>
    <xf numFmtId="42" fontId="60" fillId="0" borderId="0" xfId="0" applyNumberFormat="1" applyFont="1" applyFill="1" applyBorder="1" applyAlignment="1"/>
    <xf numFmtId="0" fontId="57" fillId="0" borderId="0" xfId="0" applyNumberFormat="1" applyFont="1" applyBorder="1" applyAlignment="1">
      <alignment horizontal="centerContinuous"/>
    </xf>
    <xf numFmtId="0" fontId="57" fillId="0" borderId="0" xfId="0" applyNumberFormat="1" applyFont="1" applyBorder="1" applyAlignment="1">
      <alignment horizontal="center"/>
    </xf>
    <xf numFmtId="0" fontId="57" fillId="0" borderId="52" xfId="0" applyNumberFormat="1" applyFont="1" applyFill="1" applyBorder="1" applyAlignment="1">
      <alignment horizontal="left" indent="1"/>
    </xf>
    <xf numFmtId="42" fontId="57" fillId="0" borderId="52" xfId="0" applyNumberFormat="1" applyFont="1" applyFill="1" applyBorder="1" applyAlignment="1"/>
    <xf numFmtId="41" fontId="57" fillId="0" borderId="52" xfId="0" applyNumberFormat="1" applyFont="1" applyFill="1" applyBorder="1" applyAlignment="1"/>
    <xf numFmtId="167" fontId="57" fillId="0" borderId="52" xfId="1" applyNumberFormat="1" applyFont="1" applyBorder="1" applyAlignment="1"/>
    <xf numFmtId="41" fontId="57" fillId="0" borderId="52" xfId="0" applyNumberFormat="1" applyFont="1" applyBorder="1" applyAlignment="1"/>
    <xf numFmtId="0" fontId="57" fillId="0" borderId="0" xfId="0" applyNumberFormat="1" applyFont="1" applyAlignment="1">
      <alignment horizontal="center"/>
    </xf>
    <xf numFmtId="42" fontId="57" fillId="0" borderId="0" xfId="0" applyNumberFormat="1" applyFont="1" applyAlignment="1"/>
    <xf numFmtId="0" fontId="45" fillId="0" borderId="0" xfId="0" applyFont="1" applyAlignment="1">
      <alignment horizontal="centerContinuous"/>
    </xf>
    <xf numFmtId="0" fontId="65" fillId="0" borderId="0" xfId="0" applyFont="1" applyAlignment="1">
      <alignment horizontal="centerContinuous"/>
    </xf>
    <xf numFmtId="0" fontId="66" fillId="0" borderId="0" xfId="0" applyFont="1" applyAlignment="1">
      <alignment horizontal="centerContinuous"/>
    </xf>
    <xf numFmtId="0" fontId="66" fillId="0" borderId="0" xfId="0" applyFont="1"/>
    <xf numFmtId="0" fontId="65" fillId="0" borderId="0" xfId="0" applyFont="1"/>
    <xf numFmtId="0" fontId="48" fillId="0" borderId="0" xfId="0" applyFont="1" applyAlignment="1">
      <alignment horizontal="centerContinuous"/>
    </xf>
    <xf numFmtId="0" fontId="49" fillId="0" borderId="0" xfId="0" applyFont="1" applyAlignment="1">
      <alignment horizontal="centerContinuous"/>
    </xf>
    <xf numFmtId="10" fontId="66" fillId="0" borderId="0" xfId="4" applyNumberFormat="1" applyFont="1" applyAlignment="1">
      <alignment horizontal="centerContinuous"/>
    </xf>
    <xf numFmtId="0" fontId="50" fillId="0" borderId="0" xfId="0" applyFont="1" applyAlignment="1">
      <alignment horizontal="centerContinuous"/>
    </xf>
    <xf numFmtId="0" fontId="47" fillId="0" borderId="46" xfId="0" applyFont="1" applyBorder="1" applyAlignment="1">
      <alignment horizontal="center"/>
    </xf>
    <xf numFmtId="0" fontId="46" fillId="0" borderId="0" xfId="0" applyFont="1" applyAlignment="1">
      <alignment horizontal="center"/>
    </xf>
    <xf numFmtId="44" fontId="47" fillId="0" borderId="46" xfId="0" applyNumberFormat="1" applyFont="1" applyBorder="1" applyAlignment="1">
      <alignment horizontal="center" wrapText="1"/>
    </xf>
    <xf numFmtId="44" fontId="46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left"/>
    </xf>
    <xf numFmtId="42" fontId="47" fillId="0" borderId="0" xfId="0" applyNumberFormat="1" applyFont="1" applyAlignment="1">
      <alignment horizontal="right"/>
    </xf>
    <xf numFmtId="10" fontId="47" fillId="0" borderId="0" xfId="0" applyNumberFormat="1" applyFont="1" applyAlignment="1">
      <alignment horizontal="right"/>
    </xf>
    <xf numFmtId="0" fontId="47" fillId="0" borderId="52" xfId="0" applyFont="1" applyBorder="1"/>
    <xf numFmtId="0" fontId="47" fillId="0" borderId="0" xfId="0" applyFont="1"/>
    <xf numFmtId="42" fontId="47" fillId="0" borderId="52" xfId="0" applyNumberFormat="1" applyFont="1" applyBorder="1" applyAlignment="1">
      <alignment horizontal="right"/>
    </xf>
    <xf numFmtId="10" fontId="47" fillId="0" borderId="52" xfId="0" applyNumberFormat="1" applyFont="1" applyBorder="1"/>
    <xf numFmtId="41" fontId="47" fillId="0" borderId="52" xfId="0" applyNumberFormat="1" applyFont="1" applyBorder="1"/>
    <xf numFmtId="41" fontId="47" fillId="0" borderId="0" xfId="0" applyNumberFormat="1" applyFont="1"/>
    <xf numFmtId="0" fontId="65" fillId="0" borderId="0" xfId="0" applyFont="1" applyAlignment="1">
      <alignment horizontal="right"/>
    </xf>
    <xf numFmtId="41" fontId="47" fillId="0" borderId="0" xfId="0" applyNumberFormat="1" applyFont="1" applyAlignment="1">
      <alignment horizontal="right"/>
    </xf>
    <xf numFmtId="0" fontId="65" fillId="0" borderId="0" xfId="0" applyFont="1" applyAlignment="1">
      <alignment horizontal="center"/>
    </xf>
    <xf numFmtId="166" fontId="46" fillId="0" borderId="53" xfId="0" applyNumberFormat="1" applyFont="1" applyBorder="1"/>
    <xf numFmtId="166" fontId="46" fillId="0" borderId="0" xfId="0" applyNumberFormat="1" applyFont="1"/>
    <xf numFmtId="42" fontId="46" fillId="0" borderId="53" xfId="0" applyNumberFormat="1" applyFont="1" applyBorder="1"/>
    <xf numFmtId="42" fontId="46" fillId="0" borderId="0" xfId="0" applyNumberFormat="1" applyFont="1"/>
    <xf numFmtId="10" fontId="46" fillId="0" borderId="53" xfId="0" applyNumberFormat="1" applyFont="1" applyBorder="1"/>
    <xf numFmtId="167" fontId="65" fillId="0" borderId="0" xfId="16" applyNumberFormat="1" applyFont="1" applyAlignment="1">
      <alignment horizontal="center"/>
    </xf>
    <xf numFmtId="43" fontId="65" fillId="0" borderId="0" xfId="16" applyFont="1" applyAlignment="1">
      <alignment horizontal="center"/>
    </xf>
    <xf numFmtId="10" fontId="65" fillId="0" borderId="0" xfId="0" applyNumberFormat="1" applyFont="1" applyAlignment="1">
      <alignment horizontal="right"/>
    </xf>
    <xf numFmtId="0" fontId="47" fillId="0" borderId="0" xfId="0" applyFont="1" applyAlignment="1">
      <alignment horizontal="centerContinuous"/>
    </xf>
    <xf numFmtId="0" fontId="46" fillId="0" borderId="0" xfId="0" applyFont="1" applyAlignment="1">
      <alignment horizontal="centerContinuous"/>
    </xf>
    <xf numFmtId="0" fontId="67" fillId="0" borderId="0" xfId="0" applyFont="1"/>
    <xf numFmtId="0" fontId="68" fillId="0" borderId="0" xfId="0" applyFont="1"/>
    <xf numFmtId="0" fontId="65" fillId="0" borderId="0" xfId="0" applyFont="1" applyAlignment="1">
      <alignment horizontal="left"/>
    </xf>
    <xf numFmtId="0" fontId="69" fillId="0" borderId="0" xfId="0" applyFont="1" applyAlignment="1">
      <alignment wrapText="1"/>
    </xf>
    <xf numFmtId="0" fontId="69" fillId="0" borderId="0" xfId="0" applyFont="1"/>
    <xf numFmtId="164" fontId="65" fillId="0" borderId="0" xfId="0" applyNumberFormat="1" applyFont="1"/>
    <xf numFmtId="4" fontId="65" fillId="0" borderId="0" xfId="0" applyNumberFormat="1" applyFont="1"/>
    <xf numFmtId="167" fontId="65" fillId="0" borderId="0" xfId="16" applyNumberFormat="1" applyFont="1" applyAlignment="1"/>
    <xf numFmtId="0" fontId="70" fillId="0" borderId="0" xfId="0" applyFont="1" applyAlignment="1">
      <alignment horizontal="centerContinuous"/>
    </xf>
    <xf numFmtId="0" fontId="50" fillId="0" borderId="0" xfId="0" applyFont="1"/>
    <xf numFmtId="0" fontId="61" fillId="0" borderId="0" xfId="0" applyFont="1" applyAlignment="1">
      <alignment horizontal="centerContinuous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1" fillId="0" borderId="46" xfId="0" applyFont="1" applyBorder="1" applyAlignment="1">
      <alignment horizontal="center"/>
    </xf>
    <xf numFmtId="0" fontId="50" fillId="0" borderId="0" xfId="0" applyFont="1" applyAlignment="1">
      <alignment horizontal="center"/>
    </xf>
    <xf numFmtId="44" fontId="51" fillId="0" borderId="46" xfId="0" applyNumberFormat="1" applyFont="1" applyBorder="1" applyAlignment="1">
      <alignment horizontal="center" wrapText="1"/>
    </xf>
    <xf numFmtId="44" fontId="50" fillId="0" borderId="0" xfId="0" applyNumberFormat="1" applyFont="1" applyAlignment="1">
      <alignment horizontal="center" wrapText="1"/>
    </xf>
    <xf numFmtId="0" fontId="51" fillId="0" borderId="0" xfId="0" applyFont="1" applyAlignment="1">
      <alignment horizontal="left"/>
    </xf>
    <xf numFmtId="44" fontId="51" fillId="0" borderId="0" xfId="0" applyNumberFormat="1" applyFont="1" applyAlignment="1">
      <alignment horizontal="center" wrapText="1"/>
    </xf>
    <xf numFmtId="0" fontId="51" fillId="0" borderId="0" xfId="0" applyFont="1" applyAlignment="1">
      <alignment horizontal="right"/>
    </xf>
    <xf numFmtId="0" fontId="51" fillId="0" borderId="52" xfId="0" applyFont="1" applyBorder="1"/>
    <xf numFmtId="42" fontId="51" fillId="0" borderId="52" xfId="0" applyNumberFormat="1" applyFont="1" applyBorder="1"/>
    <xf numFmtId="42" fontId="51" fillId="0" borderId="0" xfId="0" applyNumberFormat="1" applyFont="1"/>
    <xf numFmtId="10" fontId="51" fillId="0" borderId="52" xfId="0" applyNumberFormat="1" applyFont="1" applyBorder="1"/>
    <xf numFmtId="41" fontId="51" fillId="0" borderId="52" xfId="0" applyNumberFormat="1" applyFont="1" applyBorder="1"/>
    <xf numFmtId="41" fontId="51" fillId="0" borderId="0" xfId="0" applyNumberFormat="1" applyFont="1"/>
    <xf numFmtId="10" fontId="51" fillId="0" borderId="0" xfId="0" applyNumberFormat="1" applyFont="1"/>
    <xf numFmtId="0" fontId="50" fillId="0" borderId="53" xfId="0" applyFont="1" applyBorder="1"/>
    <xf numFmtId="42" fontId="50" fillId="0" borderId="53" xfId="0" applyNumberFormat="1" applyFont="1" applyBorder="1"/>
    <xf numFmtId="42" fontId="50" fillId="0" borderId="0" xfId="0" applyNumberFormat="1" applyFont="1"/>
    <xf numFmtId="10" fontId="50" fillId="0" borderId="53" xfId="0" applyNumberFormat="1" applyFont="1" applyBorder="1"/>
    <xf numFmtId="43" fontId="51" fillId="0" borderId="0" xfId="16" applyFont="1" applyAlignment="1"/>
    <xf numFmtId="0" fontId="71" fillId="0" borderId="0" xfId="0" applyFont="1"/>
    <xf numFmtId="0" fontId="72" fillId="0" borderId="0" xfId="0" applyFont="1"/>
    <xf numFmtId="10" fontId="65" fillId="0" borderId="0" xfId="0" applyNumberFormat="1" applyFont="1"/>
    <xf numFmtId="10" fontId="65" fillId="0" borderId="0" xfId="4" applyNumberFormat="1" applyFont="1" applyAlignment="1"/>
    <xf numFmtId="10" fontId="47" fillId="0" borderId="0" xfId="0" applyNumberFormat="1" applyFont="1"/>
    <xf numFmtId="0" fontId="46" fillId="0" borderId="53" xfId="0" applyFont="1" applyBorder="1" applyAlignment="1">
      <alignment horizontal="left"/>
    </xf>
    <xf numFmtId="0" fontId="46" fillId="0" borderId="0" xfId="0" applyFont="1" applyAlignment="1">
      <alignment horizontal="left"/>
    </xf>
    <xf numFmtId="42" fontId="65" fillId="0" borderId="0" xfId="0" applyNumberFormat="1" applyFont="1"/>
    <xf numFmtId="0" fontId="73" fillId="0" borderId="0" xfId="0" applyFont="1"/>
    <xf numFmtId="0" fontId="73" fillId="0" borderId="0" xfId="0" applyFont="1" applyAlignment="1">
      <alignment horizontal="right"/>
    </xf>
    <xf numFmtId="171" fontId="73" fillId="0" borderId="0" xfId="17" applyNumberFormat="1" applyFont="1"/>
    <xf numFmtId="171" fontId="73" fillId="0" borderId="32" xfId="17" applyNumberFormat="1" applyFont="1" applyBorder="1" applyAlignment="1"/>
    <xf numFmtId="0" fontId="66" fillId="0" borderId="0" xfId="0" applyFont="1" applyAlignment="1">
      <alignment horizontal="left"/>
    </xf>
    <xf numFmtId="0" fontId="58" fillId="0" borderId="0" xfId="0" applyFont="1" applyAlignment="1">
      <alignment horizontal="centerContinuous"/>
    </xf>
    <xf numFmtId="0" fontId="59" fillId="0" borderId="0" xfId="0" applyFont="1" applyAlignment="1">
      <alignment horizontal="centerContinuous"/>
    </xf>
    <xf numFmtId="0" fontId="74" fillId="0" borderId="0" xfId="0" applyFont="1" applyAlignment="1">
      <alignment horizontal="centerContinuous"/>
    </xf>
    <xf numFmtId="10" fontId="51" fillId="0" borderId="0" xfId="4" applyNumberFormat="1" applyFont="1" applyAlignment="1"/>
    <xf numFmtId="44" fontId="51" fillId="0" borderId="0" xfId="0" applyNumberFormat="1" applyFont="1"/>
    <xf numFmtId="0" fontId="75" fillId="0" borderId="0" xfId="0" applyFont="1"/>
    <xf numFmtId="172" fontId="75" fillId="0" borderId="0" xfId="0" applyNumberFormat="1" applyFont="1"/>
    <xf numFmtId="10" fontId="75" fillId="0" borderId="0" xfId="0" applyNumberFormat="1" applyFont="1"/>
    <xf numFmtId="4" fontId="75" fillId="0" borderId="0" xfId="0" applyNumberFormat="1" applyFont="1"/>
    <xf numFmtId="43" fontId="75" fillId="0" borderId="0" xfId="16" applyFont="1" applyFill="1" applyAlignment="1"/>
    <xf numFmtId="43" fontId="75" fillId="0" borderId="0" xfId="16" applyFont="1" applyFill="1" applyBorder="1" applyAlignment="1"/>
    <xf numFmtId="0" fontId="63" fillId="0" borderId="46" xfId="0" applyFont="1" applyBorder="1" applyAlignment="1">
      <alignment horizontal="left" wrapText="1"/>
    </xf>
    <xf numFmtId="0" fontId="63" fillId="0" borderId="0" xfId="0" applyFont="1"/>
    <xf numFmtId="0" fontId="63" fillId="0" borderId="46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46" xfId="0" applyFont="1" applyBorder="1" applyAlignment="1">
      <alignment horizontal="center" wrapText="1"/>
    </xf>
    <xf numFmtId="6" fontId="63" fillId="0" borderId="0" xfId="0" applyNumberFormat="1" applyFont="1" applyAlignment="1">
      <alignment horizontal="center"/>
    </xf>
    <xf numFmtId="4" fontId="75" fillId="0" borderId="0" xfId="0" applyNumberFormat="1" applyFont="1" applyAlignment="1">
      <alignment horizontal="right"/>
    </xf>
    <xf numFmtId="4" fontId="63" fillId="0" borderId="0" xfId="0" applyNumberFormat="1" applyFont="1"/>
    <xf numFmtId="0" fontId="75" fillId="0" borderId="52" xfId="0" applyFont="1" applyBorder="1" applyAlignment="1">
      <alignment horizontal="left" indent="1"/>
    </xf>
    <xf numFmtId="171" fontId="75" fillId="0" borderId="52" xfId="17" applyNumberFormat="1" applyFont="1" applyFill="1" applyBorder="1" applyAlignment="1"/>
    <xf numFmtId="5" fontId="75" fillId="0" borderId="0" xfId="0" applyNumberFormat="1" applyFont="1"/>
    <xf numFmtId="10" fontId="75" fillId="0" borderId="52" xfId="0" applyNumberFormat="1" applyFont="1" applyBorder="1"/>
    <xf numFmtId="168" fontId="75" fillId="0" borderId="0" xfId="0" applyNumberFormat="1" applyFont="1"/>
    <xf numFmtId="164" fontId="75" fillId="0" borderId="0" xfId="0" applyNumberFormat="1" applyFont="1"/>
    <xf numFmtId="43" fontId="75" fillId="0" borderId="0" xfId="16" applyFont="1" applyFill="1" applyBorder="1"/>
    <xf numFmtId="0" fontId="63" fillId="0" borderId="0" xfId="16" applyNumberFormat="1" applyFont="1" applyFill="1" applyBorder="1" applyAlignment="1"/>
    <xf numFmtId="41" fontId="76" fillId="0" borderId="52" xfId="0" applyNumberFormat="1" applyFont="1" applyBorder="1"/>
    <xf numFmtId="41" fontId="75" fillId="0" borderId="0" xfId="0" applyNumberFormat="1" applyFont="1"/>
    <xf numFmtId="3" fontId="75" fillId="0" borderId="0" xfId="0" applyNumberFormat="1" applyFont="1"/>
    <xf numFmtId="3" fontId="75" fillId="0" borderId="52" xfId="0" applyNumberFormat="1" applyFont="1" applyBorder="1"/>
    <xf numFmtId="43" fontId="75" fillId="0" borderId="0" xfId="0" applyNumberFormat="1" applyFont="1"/>
    <xf numFmtId="167" fontId="75" fillId="0" borderId="52" xfId="16" applyNumberFormat="1" applyFont="1" applyFill="1" applyBorder="1" applyAlignment="1"/>
    <xf numFmtId="37" fontId="75" fillId="0" borderId="0" xfId="0" applyNumberFormat="1" applyFont="1"/>
    <xf numFmtId="3" fontId="75" fillId="0" borderId="0" xfId="0" applyNumberFormat="1" applyFont="1" applyAlignment="1">
      <alignment horizontal="right"/>
    </xf>
    <xf numFmtId="37" fontId="75" fillId="0" borderId="52" xfId="0" applyNumberFormat="1" applyFont="1" applyBorder="1"/>
    <xf numFmtId="43" fontId="75" fillId="0" borderId="52" xfId="16" applyFont="1" applyFill="1" applyBorder="1" applyAlignment="1"/>
    <xf numFmtId="173" fontId="75" fillId="0" borderId="0" xfId="0" applyNumberFormat="1" applyFont="1"/>
    <xf numFmtId="41" fontId="63" fillId="0" borderId="0" xfId="0" applyNumberFormat="1" applyFont="1"/>
    <xf numFmtId="168" fontId="63" fillId="0" borderId="0" xfId="0" applyNumberFormat="1" applyFont="1"/>
    <xf numFmtId="10" fontId="63" fillId="0" borderId="0" xfId="0" applyNumberFormat="1" applyFont="1"/>
    <xf numFmtId="0" fontId="63" fillId="0" borderId="0" xfId="0" applyFont="1" applyAlignment="1">
      <alignment horizontal="left"/>
    </xf>
    <xf numFmtId="10" fontId="75" fillId="0" borderId="0" xfId="0" applyNumberFormat="1" applyFont="1" applyAlignment="1">
      <alignment horizontal="right"/>
    </xf>
    <xf numFmtId="43" fontId="75" fillId="0" borderId="0" xfId="0" applyNumberFormat="1" applyFont="1" applyAlignment="1">
      <alignment horizontal="right"/>
    </xf>
    <xf numFmtId="4" fontId="75" fillId="0" borderId="52" xfId="0" applyNumberFormat="1" applyFont="1" applyBorder="1" applyAlignment="1">
      <alignment horizontal="left" indent="1"/>
    </xf>
    <xf numFmtId="41" fontId="75" fillId="0" borderId="52" xfId="0" applyNumberFormat="1" applyFont="1" applyBorder="1" applyAlignment="1">
      <alignment horizontal="right"/>
    </xf>
    <xf numFmtId="41" fontId="75" fillId="0" borderId="0" xfId="0" applyNumberFormat="1" applyFont="1" applyAlignment="1">
      <alignment horizontal="right"/>
    </xf>
    <xf numFmtId="0" fontId="75" fillId="0" borderId="52" xfId="0" applyFont="1" applyBorder="1"/>
    <xf numFmtId="41" fontId="75" fillId="0" borderId="52" xfId="0" applyNumberFormat="1" applyFont="1" applyBorder="1"/>
    <xf numFmtId="0" fontId="57" fillId="0" borderId="52" xfId="0" applyFont="1" applyBorder="1" applyAlignment="1">
      <alignment horizontal="left" indent="1"/>
    </xf>
    <xf numFmtId="41" fontId="75" fillId="0" borderId="57" xfId="0" applyNumberFormat="1" applyFont="1" applyBorder="1"/>
    <xf numFmtId="168" fontId="75" fillId="0" borderId="57" xfId="0" applyNumberFormat="1" applyFont="1" applyBorder="1"/>
    <xf numFmtId="167" fontId="63" fillId="0" borderId="57" xfId="16" applyNumberFormat="1" applyFont="1" applyFill="1" applyBorder="1" applyAlignment="1"/>
    <xf numFmtId="0" fontId="75" fillId="0" borderId="57" xfId="0" applyFont="1" applyBorder="1"/>
    <xf numFmtId="10" fontId="63" fillId="0" borderId="57" xfId="0" applyNumberFormat="1" applyFont="1" applyBorder="1"/>
    <xf numFmtId="166" fontId="63" fillId="0" borderId="0" xfId="0" applyNumberFormat="1" applyFont="1"/>
    <xf numFmtId="39" fontId="75" fillId="0" borderId="0" xfId="0" applyNumberFormat="1" applyFont="1"/>
    <xf numFmtId="0" fontId="63" fillId="0" borderId="0" xfId="0" applyFont="1" applyAlignment="1">
      <alignment wrapText="1"/>
    </xf>
    <xf numFmtId="0" fontId="57" fillId="0" borderId="0" xfId="0" applyFont="1"/>
    <xf numFmtId="164" fontId="63" fillId="0" borderId="0" xfId="0" applyNumberFormat="1" applyFont="1"/>
    <xf numFmtId="8" fontId="63" fillId="0" borderId="0" xfId="0" applyNumberFormat="1" applyFont="1"/>
    <xf numFmtId="0" fontId="63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77" fillId="0" borderId="0" xfId="0" applyFont="1" applyAlignment="1">
      <alignment horizontal="centerContinuous"/>
    </xf>
    <xf numFmtId="0" fontId="78" fillId="0" borderId="0" xfId="0" applyFont="1" applyAlignment="1">
      <alignment horizontal="center" wrapText="1"/>
    </xf>
    <xf numFmtId="0" fontId="73" fillId="0" borderId="59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3" fillId="0" borderId="59" xfId="0" applyFont="1" applyBorder="1"/>
    <xf numFmtId="0" fontId="73" fillId="0" borderId="52" xfId="0" applyFont="1" applyBorder="1" applyAlignment="1">
      <alignment horizontal="left"/>
    </xf>
    <xf numFmtId="0" fontId="73" fillId="0" borderId="0" xfId="0" applyFont="1" applyAlignment="1">
      <alignment horizontal="left"/>
    </xf>
    <xf numFmtId="42" fontId="73" fillId="0" borderId="52" xfId="17" applyNumberFormat="1" applyFont="1" applyFill="1" applyBorder="1" applyAlignment="1">
      <alignment horizontal="center"/>
    </xf>
    <xf numFmtId="168" fontId="73" fillId="0" borderId="0" xfId="0" applyNumberFormat="1" applyFont="1" applyAlignment="1">
      <alignment horizontal="center"/>
    </xf>
    <xf numFmtId="168" fontId="73" fillId="0" borderId="52" xfId="0" applyNumberFormat="1" applyFont="1" applyBorder="1" applyAlignment="1">
      <alignment horizontal="center"/>
    </xf>
    <xf numFmtId="168" fontId="73" fillId="0" borderId="52" xfId="0" applyNumberFormat="1" applyFont="1" applyBorder="1"/>
    <xf numFmtId="168" fontId="73" fillId="0" borderId="0" xfId="0" applyNumberFormat="1" applyFont="1"/>
    <xf numFmtId="43" fontId="65" fillId="0" borderId="0" xfId="16" applyFont="1" applyAlignment="1"/>
    <xf numFmtId="42" fontId="73" fillId="0" borderId="52" xfId="17" applyNumberFormat="1" applyFont="1" applyFill="1" applyBorder="1" applyAlignment="1"/>
    <xf numFmtId="168" fontId="73" fillId="0" borderId="0" xfId="0" applyNumberFormat="1" applyFont="1" applyAlignment="1">
      <alignment horizontal="right"/>
    </xf>
    <xf numFmtId="168" fontId="73" fillId="0" borderId="52" xfId="0" applyNumberFormat="1" applyFont="1" applyBorder="1" applyAlignment="1">
      <alignment horizontal="right"/>
    </xf>
    <xf numFmtId="3" fontId="73" fillId="0" borderId="0" xfId="0" applyNumberFormat="1" applyFont="1"/>
    <xf numFmtId="38" fontId="65" fillId="0" borderId="0" xfId="0" applyNumberFormat="1" applyFont="1"/>
    <xf numFmtId="3" fontId="65" fillId="0" borderId="0" xfId="0" applyNumberFormat="1" applyFont="1"/>
    <xf numFmtId="43" fontId="65" fillId="0" borderId="0" xfId="16" applyFont="1"/>
    <xf numFmtId="0" fontId="79" fillId="0" borderId="0" xfId="0" applyFont="1" applyAlignment="1">
      <alignment horizontal="centerContinuous"/>
    </xf>
    <xf numFmtId="0" fontId="79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81" fillId="0" borderId="0" xfId="18" applyFont="1" applyAlignment="1">
      <alignment vertical="center"/>
    </xf>
    <xf numFmtId="43" fontId="65" fillId="0" borderId="0" xfId="16" applyFont="1" applyFill="1" applyBorder="1"/>
    <xf numFmtId="0" fontId="82" fillId="0" borderId="60" xfId="0" applyFont="1" applyBorder="1" applyAlignment="1">
      <alignment horizontal="center"/>
    </xf>
    <xf numFmtId="0" fontId="82" fillId="0" borderId="0" xfId="0" applyFont="1" applyAlignment="1">
      <alignment horizontal="center" vertical="top"/>
    </xf>
    <xf numFmtId="0" fontId="83" fillId="0" borderId="0" xfId="18" applyFont="1" applyAlignment="1">
      <alignment horizontal="left" indent="1"/>
    </xf>
    <xf numFmtId="0" fontId="83" fillId="0" borderId="0" xfId="18" quotePrefix="1" applyFont="1" applyAlignment="1">
      <alignment horizontal="center"/>
    </xf>
    <xf numFmtId="0" fontId="65" fillId="0" borderId="0" xfId="0" applyFont="1" applyAlignment="1">
      <alignment vertical="top"/>
    </xf>
    <xf numFmtId="0" fontId="82" fillId="0" borderId="0" xfId="0" applyFont="1" applyAlignment="1">
      <alignment vertical="top"/>
    </xf>
    <xf numFmtId="0" fontId="69" fillId="0" borderId="52" xfId="0" applyFont="1" applyBorder="1" applyAlignment="1">
      <alignment horizontal="left" indent="1"/>
    </xf>
    <xf numFmtId="0" fontId="69" fillId="0" borderId="52" xfId="0" applyFont="1" applyBorder="1" applyAlignment="1">
      <alignment horizontal="center"/>
    </xf>
    <xf numFmtId="42" fontId="69" fillId="0" borderId="52" xfId="17" applyNumberFormat="1" applyFont="1" applyFill="1" applyBorder="1"/>
    <xf numFmtId="41" fontId="69" fillId="0" borderId="52" xfId="17" applyNumberFormat="1" applyFont="1" applyFill="1" applyBorder="1"/>
    <xf numFmtId="41" fontId="69" fillId="0" borderId="0" xfId="17" applyNumberFormat="1" applyFont="1" applyFill="1" applyBorder="1"/>
    <xf numFmtId="42" fontId="69" fillId="0" borderId="0" xfId="17" applyNumberFormat="1" applyFont="1" applyFill="1" applyBorder="1"/>
    <xf numFmtId="0" fontId="65" fillId="0" borderId="0" xfId="16" applyNumberFormat="1" applyFont="1" applyFill="1" applyBorder="1"/>
    <xf numFmtId="41" fontId="69" fillId="0" borderId="52" xfId="16" applyNumberFormat="1" applyFont="1" applyFill="1" applyBorder="1" applyAlignment="1">
      <alignment horizontal="center"/>
    </xf>
    <xf numFmtId="41" fontId="69" fillId="0" borderId="0" xfId="16" applyNumberFormat="1" applyFont="1" applyFill="1" applyBorder="1" applyAlignment="1">
      <alignment horizontal="center"/>
    </xf>
    <xf numFmtId="0" fontId="83" fillId="0" borderId="0" xfId="18" applyFont="1" applyAlignment="1">
      <alignment horizontal="center"/>
    </xf>
    <xf numFmtId="0" fontId="82" fillId="0" borderId="0" xfId="0" applyFont="1"/>
    <xf numFmtId="41" fontId="82" fillId="0" borderId="51" xfId="16" applyNumberFormat="1" applyFont="1" applyFill="1" applyBorder="1" applyAlignment="1">
      <alignment horizontal="center"/>
    </xf>
    <xf numFmtId="41" fontId="82" fillId="0" borderId="0" xfId="16" applyNumberFormat="1" applyFont="1" applyFill="1" applyBorder="1" applyAlignment="1">
      <alignment horizontal="center"/>
    </xf>
    <xf numFmtId="0" fontId="65" fillId="0" borderId="0" xfId="0" applyFont="1" applyAlignment="1">
      <alignment horizontal="left" indent="2"/>
    </xf>
    <xf numFmtId="0" fontId="81" fillId="0" borderId="0" xfId="18" applyFont="1"/>
    <xf numFmtId="0" fontId="69" fillId="0" borderId="0" xfId="0" applyFont="1" applyAlignment="1">
      <alignment horizontal="center"/>
    </xf>
    <xf numFmtId="42" fontId="82" fillId="0" borderId="53" xfId="16" applyNumberFormat="1" applyFont="1" applyFill="1" applyBorder="1" applyAlignment="1">
      <alignment horizontal="center"/>
    </xf>
    <xf numFmtId="42" fontId="82" fillId="0" borderId="0" xfId="16" applyNumberFormat="1" applyFont="1" applyFill="1" applyBorder="1" applyAlignment="1">
      <alignment horizontal="center"/>
    </xf>
    <xf numFmtId="41" fontId="69" fillId="0" borderId="0" xfId="16" applyNumberFormat="1" applyFont="1" applyAlignment="1">
      <alignment horizontal="center"/>
    </xf>
    <xf numFmtId="41" fontId="69" fillId="0" borderId="0" xfId="16" applyNumberFormat="1" applyFont="1" applyBorder="1" applyAlignment="1">
      <alignment horizontal="center"/>
    </xf>
    <xf numFmtId="167" fontId="69" fillId="0" borderId="0" xfId="16" applyNumberFormat="1" applyFont="1" applyAlignment="1">
      <alignment horizontal="center"/>
    </xf>
    <xf numFmtId="167" fontId="69" fillId="0" borderId="0" xfId="16" applyNumberFormat="1" applyFont="1" applyBorder="1" applyAlignment="1">
      <alignment horizontal="center"/>
    </xf>
    <xf numFmtId="0" fontId="84" fillId="0" borderId="0" xfId="0" applyFont="1" applyAlignment="1">
      <alignment horizontal="centerContinuous"/>
    </xf>
    <xf numFmtId="0" fontId="82" fillId="0" borderId="0" xfId="0" applyFont="1" applyAlignment="1">
      <alignment horizontal="centerContinuous"/>
    </xf>
    <xf numFmtId="0" fontId="69" fillId="0" borderId="0" xfId="0" applyFont="1" applyAlignment="1">
      <alignment horizontal="centerContinuous"/>
    </xf>
    <xf numFmtId="0" fontId="85" fillId="0" borderId="0" xfId="0" applyFont="1" applyAlignment="1">
      <alignment horizontal="centerContinuous"/>
    </xf>
    <xf numFmtId="0" fontId="86" fillId="0" borderId="0" xfId="0" applyFont="1" applyAlignment="1">
      <alignment horizontal="centerContinuous"/>
    </xf>
    <xf numFmtId="0" fontId="78" fillId="0" borderId="0" xfId="0" applyFont="1" applyAlignment="1">
      <alignment horizontal="center"/>
    </xf>
    <xf numFmtId="0" fontId="73" fillId="0" borderId="5" xfId="0" applyFont="1" applyBorder="1"/>
    <xf numFmtId="171" fontId="73" fillId="0" borderId="0" xfId="17" applyNumberFormat="1" applyFont="1" applyFill="1" applyBorder="1" applyAlignment="1"/>
    <xf numFmtId="0" fontId="73" fillId="0" borderId="52" xfId="0" applyFont="1" applyBorder="1" applyAlignment="1">
      <alignment horizontal="center"/>
    </xf>
    <xf numFmtId="0" fontId="73" fillId="0" borderId="52" xfId="0" applyFont="1" applyBorder="1"/>
    <xf numFmtId="171" fontId="73" fillId="0" borderId="52" xfId="17" applyNumberFormat="1" applyFont="1" applyFill="1" applyBorder="1" applyAlignment="1"/>
    <xf numFmtId="3" fontId="73" fillId="0" borderId="52" xfId="0" applyNumberFormat="1" applyFont="1" applyBorder="1"/>
    <xf numFmtId="171" fontId="73" fillId="0" borderId="52" xfId="17" applyNumberFormat="1" applyFont="1" applyFill="1" applyBorder="1" applyAlignment="1">
      <alignment horizontal="center"/>
    </xf>
    <xf numFmtId="171" fontId="69" fillId="0" borderId="0" xfId="0" applyNumberFormat="1" applyFont="1"/>
    <xf numFmtId="0" fontId="88" fillId="0" borderId="0" xfId="0" applyFont="1" applyAlignment="1">
      <alignment horizontal="centerContinuous"/>
    </xf>
    <xf numFmtId="0" fontId="60" fillId="0" borderId="0" xfId="0" applyFont="1" applyAlignment="1">
      <alignment horizontal="centerContinuous"/>
    </xf>
    <xf numFmtId="3" fontId="69" fillId="0" borderId="0" xfId="0" applyNumberFormat="1" applyFont="1"/>
    <xf numFmtId="0" fontId="78" fillId="0" borderId="46" xfId="0" applyFont="1" applyBorder="1" applyAlignment="1">
      <alignment horizontal="center" wrapText="1"/>
    </xf>
    <xf numFmtId="0" fontId="73" fillId="0" borderId="61" xfId="0" applyFont="1" applyBorder="1" applyAlignment="1">
      <alignment horizontal="left"/>
    </xf>
    <xf numFmtId="42" fontId="73" fillId="0" borderId="52" xfId="0" applyNumberFormat="1" applyFont="1" applyBorder="1" applyAlignment="1">
      <alignment horizontal="right"/>
    </xf>
    <xf numFmtId="42" fontId="73" fillId="0" borderId="0" xfId="0" applyNumberFormat="1" applyFont="1" applyAlignment="1">
      <alignment horizontal="right"/>
    </xf>
    <xf numFmtId="42" fontId="73" fillId="0" borderId="52" xfId="0" applyNumberFormat="1" applyFont="1" applyBorder="1"/>
    <xf numFmtId="42" fontId="73" fillId="0" borderId="0" xfId="0" applyNumberFormat="1" applyFont="1"/>
    <xf numFmtId="0" fontId="69" fillId="0" borderId="0" xfId="0" applyFont="1" applyAlignment="1">
      <alignment horizontal="right"/>
    </xf>
    <xf numFmtId="0" fontId="60" fillId="0" borderId="0" xfId="0" applyFont="1"/>
    <xf numFmtId="0" fontId="62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9" fillId="0" borderId="0" xfId="0" applyFont="1"/>
    <xf numFmtId="0" fontId="90" fillId="0" borderId="0" xfId="0" applyFont="1" applyAlignment="1">
      <alignment horizontal="center"/>
    </xf>
    <xf numFmtId="0" fontId="90" fillId="0" borderId="46" xfId="0" applyFont="1" applyBorder="1"/>
    <xf numFmtId="0" fontId="90" fillId="0" borderId="46" xfId="0" applyFont="1" applyBorder="1" applyAlignment="1">
      <alignment horizontal="center"/>
    </xf>
    <xf numFmtId="0" fontId="90" fillId="0" borderId="0" xfId="0" applyFont="1"/>
    <xf numFmtId="171" fontId="89" fillId="0" borderId="0" xfId="17" applyNumberFormat="1" applyFont="1" applyFill="1" applyBorder="1" applyAlignment="1"/>
    <xf numFmtId="0" fontId="89" fillId="0" borderId="62" xfId="0" applyFont="1" applyBorder="1" applyAlignment="1">
      <alignment horizontal="left" indent="1"/>
    </xf>
    <xf numFmtId="171" fontId="89" fillId="0" borderId="62" xfId="17" applyNumberFormat="1" applyFont="1" applyFill="1" applyBorder="1" applyAlignment="1"/>
    <xf numFmtId="171" fontId="90" fillId="0" borderId="0" xfId="17" applyNumberFormat="1" applyFont="1" applyFill="1" applyBorder="1" applyAlignment="1"/>
    <xf numFmtId="0" fontId="73" fillId="0" borderId="5" xfId="0" applyFont="1" applyFill="1" applyBorder="1" applyAlignment="1">
      <alignment horizontal="center"/>
    </xf>
    <xf numFmtId="0" fontId="73" fillId="0" borderId="52" xfId="0" applyFont="1" applyFill="1" applyBorder="1" applyAlignment="1">
      <alignment horizontal="center"/>
    </xf>
    <xf numFmtId="0" fontId="69" fillId="0" borderId="52" xfId="0" applyFont="1" applyFill="1" applyBorder="1" applyAlignment="1">
      <alignment horizontal="left" indent="1"/>
    </xf>
    <xf numFmtId="0" fontId="82" fillId="0" borderId="0" xfId="0" applyFont="1" applyFill="1"/>
    <xf numFmtId="0" fontId="91" fillId="0" borderId="0" xfId="0" applyFont="1"/>
    <xf numFmtId="10" fontId="91" fillId="0" borderId="0" xfId="0" applyNumberFormat="1" applyFont="1"/>
    <xf numFmtId="0" fontId="51" fillId="0" borderId="0" xfId="0" applyFont="1" applyBorder="1"/>
    <xf numFmtId="164" fontId="51" fillId="0" borderId="0" xfId="0" applyNumberFormat="1" applyFont="1" applyBorder="1"/>
    <xf numFmtId="0" fontId="91" fillId="0" borderId="0" xfId="0" applyFont="1" applyBorder="1"/>
    <xf numFmtId="4" fontId="91" fillId="0" borderId="0" xfId="0" applyNumberFormat="1" applyFont="1" applyBorder="1" applyAlignment="1">
      <alignment horizontal="right"/>
    </xf>
    <xf numFmtId="0" fontId="91" fillId="0" borderId="0" xfId="0" applyFont="1" applyBorder="1" applyAlignment="1">
      <alignment horizontal="right"/>
    </xf>
    <xf numFmtId="42" fontId="91" fillId="0" borderId="0" xfId="0" applyNumberFormat="1" applyFont="1" applyBorder="1"/>
    <xf numFmtId="10" fontId="91" fillId="0" borderId="0" xfId="4" applyNumberFormat="1" applyFont="1" applyBorder="1" applyAlignment="1"/>
    <xf numFmtId="41" fontId="91" fillId="0" borderId="0" xfId="0" applyNumberFormat="1" applyFont="1" applyBorder="1"/>
    <xf numFmtId="10" fontId="91" fillId="0" borderId="0" xfId="0" applyNumberFormat="1" applyFont="1" applyBorder="1"/>
    <xf numFmtId="0" fontId="92" fillId="0" borderId="0" xfId="0" applyFont="1" applyFill="1" applyBorder="1"/>
    <xf numFmtId="4" fontId="92" fillId="0" borderId="0" xfId="0" applyNumberFormat="1" applyFont="1" applyFill="1" applyBorder="1"/>
    <xf numFmtId="0" fontId="92" fillId="0" borderId="0" xfId="0" applyFont="1" applyFill="1" applyBorder="1" applyAlignment="1">
      <alignment horizontal="center"/>
    </xf>
    <xf numFmtId="44" fontId="92" fillId="0" borderId="0" xfId="0" applyNumberFormat="1" applyFont="1" applyFill="1" applyBorder="1" applyAlignment="1">
      <alignment horizontal="center" wrapText="1"/>
    </xf>
    <xf numFmtId="42" fontId="92" fillId="0" borderId="0" xfId="0" applyNumberFormat="1" applyFont="1" applyFill="1" applyBorder="1"/>
    <xf numFmtId="10" fontId="92" fillId="0" borderId="0" xfId="0" applyNumberFormat="1" applyFont="1" applyFill="1" applyBorder="1"/>
    <xf numFmtId="41" fontId="92" fillId="0" borderId="0" xfId="0" applyNumberFormat="1" applyFont="1" applyFill="1" applyBorder="1"/>
    <xf numFmtId="0" fontId="93" fillId="0" borderId="0" xfId="0" applyFont="1" applyFill="1" applyBorder="1" applyAlignment="1">
      <alignment horizontal="left"/>
    </xf>
    <xf numFmtId="42" fontId="93" fillId="0" borderId="0" xfId="0" applyNumberFormat="1" applyFont="1" applyFill="1" applyBorder="1"/>
    <xf numFmtId="10" fontId="93" fillId="0" borderId="0" xfId="0" applyNumberFormat="1" applyFont="1" applyFill="1" applyBorder="1"/>
    <xf numFmtId="164" fontId="91" fillId="0" borderId="0" xfId="0" applyNumberFormat="1" applyFont="1" applyBorder="1"/>
    <xf numFmtId="42" fontId="91" fillId="0" borderId="0" xfId="0" applyNumberFormat="1" applyFont="1" applyBorder="1" applyProtection="1">
      <protection locked="0"/>
    </xf>
    <xf numFmtId="43" fontId="91" fillId="0" borderId="0" xfId="16" applyFont="1" applyBorder="1" applyAlignment="1"/>
    <xf numFmtId="0" fontId="94" fillId="0" borderId="0" xfId="0" applyFont="1" applyBorder="1"/>
    <xf numFmtId="44" fontId="94" fillId="0" borderId="0" xfId="0" applyNumberFormat="1" applyFont="1" applyBorder="1"/>
    <xf numFmtId="42" fontId="94" fillId="8" borderId="0" xfId="0" applyNumberFormat="1" applyFont="1" applyFill="1" applyBorder="1"/>
    <xf numFmtId="42" fontId="94" fillId="0" borderId="0" xfId="0" applyNumberFormat="1" applyFont="1" applyBorder="1"/>
    <xf numFmtId="10" fontId="94" fillId="0" borderId="0" xfId="0" applyNumberFormat="1" applyFont="1" applyBorder="1"/>
    <xf numFmtId="41" fontId="94" fillId="0" borderId="0" xfId="0" applyNumberFormat="1" applyFont="1" applyBorder="1"/>
    <xf numFmtId="0" fontId="92" fillId="0" borderId="0" xfId="0" applyFont="1" applyBorder="1"/>
    <xf numFmtId="167" fontId="92" fillId="0" borderId="0" xfId="16" applyNumberFormat="1" applyFont="1" applyBorder="1" applyAlignment="1"/>
    <xf numFmtId="0" fontId="95" fillId="0" borderId="0" xfId="0" applyNumberFormat="1" applyFont="1" applyFill="1" applyBorder="1" applyAlignment="1">
      <alignment horizontal="centerContinuous"/>
    </xf>
    <xf numFmtId="0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Border="1" applyAlignment="1">
      <alignment horizontal="center"/>
    </xf>
    <xf numFmtId="0" fontId="91" fillId="0" borderId="0" xfId="0" applyNumberFormat="1" applyFont="1" applyFill="1" applyBorder="1" applyAlignment="1"/>
    <xf numFmtId="0" fontId="91" fillId="0" borderId="0" xfId="0" applyNumberFormat="1" applyFont="1" applyBorder="1" applyAlignment="1"/>
    <xf numFmtId="42" fontId="91" fillId="0" borderId="0" xfId="0" applyNumberFormat="1" applyFont="1" applyBorder="1" applyAlignment="1"/>
    <xf numFmtId="169" fontId="91" fillId="0" borderId="0" xfId="0" applyNumberFormat="1" applyFont="1" applyBorder="1" applyAlignment="1"/>
    <xf numFmtId="41" fontId="91" fillId="0" borderId="0" xfId="0" applyNumberFormat="1" applyFont="1" applyBorder="1" applyAlignment="1"/>
    <xf numFmtId="10" fontId="91" fillId="0" borderId="0" xfId="0" applyNumberFormat="1" applyFont="1" applyBorder="1" applyAlignment="1"/>
    <xf numFmtId="0" fontId="95" fillId="0" borderId="0" xfId="0" applyNumberFormat="1" applyFont="1" applyBorder="1" applyAlignment="1">
      <alignment horizontal="centerContinuous"/>
    </xf>
    <xf numFmtId="44" fontId="91" fillId="0" borderId="0" xfId="0" applyNumberFormat="1" applyFont="1" applyBorder="1" applyAlignment="1">
      <alignment horizontal="center" wrapText="1"/>
    </xf>
    <xf numFmtId="170" fontId="91" fillId="0" borderId="0" xfId="1" applyNumberFormat="1" applyFont="1" applyBorder="1" applyAlignment="1"/>
    <xf numFmtId="170" fontId="91" fillId="0" borderId="0" xfId="0" applyNumberFormat="1" applyFont="1" applyBorder="1" applyAlignment="1"/>
    <xf numFmtId="0" fontId="91" fillId="0" borderId="0" xfId="0" applyNumberFormat="1" applyFont="1" applyBorder="1" applyAlignment="1">
      <alignment horizontal="right"/>
    </xf>
    <xf numFmtId="0" fontId="96" fillId="0" borderId="0" xfId="0" applyNumberFormat="1" applyFont="1" applyFill="1" applyBorder="1" applyAlignment="1"/>
    <xf numFmtId="42" fontId="96" fillId="0" borderId="0" xfId="0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/>
    <xf numFmtId="41" fontId="96" fillId="0" borderId="0" xfId="0" applyNumberFormat="1" applyFont="1" applyBorder="1" applyAlignment="1"/>
    <xf numFmtId="166" fontId="97" fillId="0" borderId="0" xfId="0" applyNumberFormat="1" applyFont="1" applyFill="1" applyBorder="1" applyAlignment="1"/>
    <xf numFmtId="42" fontId="97" fillId="0" borderId="0" xfId="0" applyNumberFormat="1" applyFont="1" applyFill="1" applyBorder="1" applyAlignment="1"/>
    <xf numFmtId="0" fontId="96" fillId="0" borderId="0" xfId="0" applyNumberFormat="1" applyFont="1" applyBorder="1" applyAlignment="1"/>
    <xf numFmtId="42" fontId="96" fillId="0" borderId="0" xfId="0" applyNumberFormat="1" applyFont="1" applyBorder="1" applyAlignment="1">
      <alignment horizontal="right"/>
    </xf>
    <xf numFmtId="10" fontId="96" fillId="0" borderId="0" xfId="0" applyNumberFormat="1" applyFont="1" applyBorder="1" applyAlignment="1"/>
    <xf numFmtId="166" fontId="97" fillId="0" borderId="0" xfId="0" applyNumberFormat="1" applyFont="1" applyBorder="1" applyAlignment="1"/>
    <xf numFmtId="42" fontId="97" fillId="0" borderId="0" xfId="0" applyNumberFormat="1" applyFont="1" applyBorder="1" applyAlignment="1"/>
    <xf numFmtId="10" fontId="97" fillId="0" borderId="0" xfId="0" applyNumberFormat="1" applyFont="1" applyBorder="1" applyAlignment="1"/>
    <xf numFmtId="0" fontId="96" fillId="0" borderId="0" xfId="0" applyNumberFormat="1" applyFont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48" fillId="0" borderId="0" xfId="0" applyNumberFormat="1" applyFont="1" applyAlignment="1">
      <alignment horizontal="center"/>
    </xf>
    <xf numFmtId="0" fontId="49" fillId="0" borderId="0" xfId="0" applyNumberFormat="1" applyFont="1" applyAlignment="1">
      <alignment horizontal="center"/>
    </xf>
    <xf numFmtId="0" fontId="50" fillId="0" borderId="0" xfId="0" applyNumberFormat="1" applyFont="1" applyAlignment="1">
      <alignment horizontal="center"/>
    </xf>
    <xf numFmtId="0" fontId="56" fillId="0" borderId="0" xfId="0" applyNumberFormat="1" applyFont="1" applyBorder="1" applyAlignment="1">
      <alignment horizontal="center"/>
    </xf>
    <xf numFmtId="0" fontId="58" fillId="0" borderId="0" xfId="0" applyNumberFormat="1" applyFont="1" applyBorder="1" applyAlignment="1">
      <alignment horizontal="center"/>
    </xf>
    <xf numFmtId="0" fontId="59" fillId="0" borderId="0" xfId="0" applyNumberFormat="1" applyFont="1" applyBorder="1" applyAlignment="1">
      <alignment horizontal="center"/>
    </xf>
    <xf numFmtId="0" fontId="61" fillId="0" borderId="0" xfId="0" applyNumberFormat="1" applyFont="1" applyBorder="1" applyAlignment="1">
      <alignment horizontal="center"/>
    </xf>
    <xf numFmtId="0" fontId="73" fillId="0" borderId="0" xfId="0" applyFont="1" applyAlignment="1">
      <alignment horizontal="right"/>
    </xf>
    <xf numFmtId="0" fontId="75" fillId="0" borderId="55" xfId="0" applyFont="1" applyBorder="1" applyAlignment="1">
      <alignment horizontal="center" vertical="center"/>
    </xf>
    <xf numFmtId="0" fontId="75" fillId="0" borderId="56" xfId="0" applyFont="1" applyBorder="1" applyAlignment="1">
      <alignment horizontal="center" vertical="center"/>
    </xf>
    <xf numFmtId="10" fontId="75" fillId="0" borderId="55" xfId="0" applyNumberFormat="1" applyFont="1" applyBorder="1" applyAlignment="1">
      <alignment horizontal="center" vertical="center"/>
    </xf>
    <xf numFmtId="10" fontId="75" fillId="0" borderId="56" xfId="0" applyNumberFormat="1" applyFont="1" applyBorder="1" applyAlignment="1">
      <alignment horizontal="center" vertical="center"/>
    </xf>
    <xf numFmtId="10" fontId="63" fillId="0" borderId="54" xfId="0" applyNumberFormat="1" applyFont="1" applyBorder="1" applyAlignment="1">
      <alignment horizontal="center" vertical="center"/>
    </xf>
    <xf numFmtId="10" fontId="63" fillId="0" borderId="58" xfId="0" applyNumberFormat="1" applyFont="1" applyBorder="1" applyAlignment="1">
      <alignment horizontal="center" vertical="center"/>
    </xf>
    <xf numFmtId="10" fontId="75" fillId="0" borderId="55" xfId="4" applyNumberFormat="1" applyFont="1" applyFill="1" applyBorder="1" applyAlignment="1">
      <alignment horizontal="center" vertical="center"/>
    </xf>
    <xf numFmtId="10" fontId="75" fillId="0" borderId="56" xfId="4" applyNumberFormat="1" applyFont="1" applyFill="1" applyBorder="1" applyAlignment="1">
      <alignment horizontal="center" vertical="center"/>
    </xf>
    <xf numFmtId="10" fontId="63" fillId="0" borderId="55" xfId="0" applyNumberFormat="1" applyFont="1" applyBorder="1" applyAlignment="1">
      <alignment horizontal="center" vertical="center"/>
    </xf>
    <xf numFmtId="10" fontId="63" fillId="0" borderId="56" xfId="0" applyNumberFormat="1" applyFont="1" applyBorder="1" applyAlignment="1">
      <alignment horizontal="center" vertical="center"/>
    </xf>
    <xf numFmtId="171" fontId="63" fillId="0" borderId="54" xfId="17" applyNumberFormat="1" applyFont="1" applyFill="1" applyBorder="1" applyAlignment="1">
      <alignment horizontal="center" vertical="center"/>
    </xf>
    <xf numFmtId="171" fontId="63" fillId="0" borderId="58" xfId="17" applyNumberFormat="1" applyFont="1" applyFill="1" applyBorder="1" applyAlignment="1">
      <alignment horizontal="center" vertical="center"/>
    </xf>
    <xf numFmtId="0" fontId="75" fillId="0" borderId="54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54" xfId="0" applyFont="1" applyBorder="1" applyAlignment="1">
      <alignment horizontal="center"/>
    </xf>
    <xf numFmtId="0" fontId="75" fillId="0" borderId="58" xfId="0" applyFont="1" applyBorder="1" applyAlignment="1">
      <alignment horizontal="center"/>
    </xf>
    <xf numFmtId="10" fontId="63" fillId="0" borderId="46" xfId="0" applyNumberFormat="1" applyFont="1" applyBorder="1" applyAlignment="1">
      <alignment horizontal="center" vertical="center"/>
    </xf>
    <xf numFmtId="10" fontId="75" fillId="0" borderId="55" xfId="0" applyNumberFormat="1" applyFont="1" applyBorder="1" applyAlignment="1">
      <alignment horizontal="center"/>
    </xf>
    <xf numFmtId="10" fontId="75" fillId="0" borderId="56" xfId="0" applyNumberFormat="1" applyFont="1" applyBorder="1" applyAlignment="1">
      <alignment horizontal="center"/>
    </xf>
    <xf numFmtId="41" fontId="63" fillId="0" borderId="54" xfId="0" applyNumberFormat="1" applyFont="1" applyBorder="1" applyAlignment="1">
      <alignment horizontal="center" vertical="center"/>
    </xf>
    <xf numFmtId="41" fontId="63" fillId="0" borderId="46" xfId="0" applyNumberFormat="1" applyFont="1" applyBorder="1" applyAlignment="1">
      <alignment horizontal="center" vertical="center"/>
    </xf>
    <xf numFmtId="167" fontId="63" fillId="0" borderId="54" xfId="16" applyNumberFormat="1" applyFont="1" applyFill="1" applyBorder="1" applyAlignment="1">
      <alignment horizontal="center" vertical="center"/>
    </xf>
    <xf numFmtId="167" fontId="63" fillId="0" borderId="46" xfId="16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36" fillId="0" borderId="37" xfId="0" applyNumberFormat="1" applyFont="1" applyFill="1" applyBorder="1" applyAlignment="1">
      <alignment horizontal="center"/>
    </xf>
    <xf numFmtId="0" fontId="36" fillId="0" borderId="31" xfId="0" applyNumberFormat="1" applyFont="1" applyFill="1" applyBorder="1" applyAlignment="1">
      <alignment horizontal="center"/>
    </xf>
    <xf numFmtId="0" fontId="36" fillId="0" borderId="38" xfId="0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8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</cellXfs>
  <cellStyles count="19">
    <cellStyle name="Comma" xfId="1" builtinId="3"/>
    <cellStyle name="Comma 2" xfId="7" xr:uid="{00000000-0005-0000-0000-000001000000}"/>
    <cellStyle name="Comma 2 2" xfId="12" xr:uid="{00000000-0005-0000-0000-000002000000}"/>
    <cellStyle name="Comma 3" xfId="16" xr:uid="{36B51A37-87C8-4375-8031-7F517848AD9D}"/>
    <cellStyle name="Currency 2" xfId="5" xr:uid="{00000000-0005-0000-0000-000003000000}"/>
    <cellStyle name="Currency 2 2" xfId="13" xr:uid="{00000000-0005-0000-0000-000004000000}"/>
    <cellStyle name="Currency 3" xfId="17" xr:uid="{054F947E-42EB-4C7E-8BCF-9AF2C743F07B}"/>
    <cellStyle name="Normal" xfId="0" builtinId="0"/>
    <cellStyle name="Normal 2" xfId="3" xr:uid="{00000000-0005-0000-0000-000006000000}"/>
    <cellStyle name="Normal 2 2" xfId="8" xr:uid="{00000000-0005-0000-0000-000007000000}"/>
    <cellStyle name="Normal 2 3" xfId="11" xr:uid="{00000000-0005-0000-0000-000008000000}"/>
    <cellStyle name="Normal 2 4" xfId="18" xr:uid="{829E5451-BF27-458E-826D-9566F7A9E3A0}"/>
    <cellStyle name="Normal 3" xfId="9" xr:uid="{00000000-0005-0000-0000-000009000000}"/>
    <cellStyle name="Normal 4" xfId="10" xr:uid="{00000000-0005-0000-0000-00000A000000}"/>
    <cellStyle name="Normal 5" xfId="14" xr:uid="{00000000-0005-0000-0000-00000B000000}"/>
    <cellStyle name="Percent" xfId="2" builtinId="5"/>
    <cellStyle name="Percent 2" xfId="4" xr:uid="{00000000-0005-0000-0000-00000D000000}"/>
    <cellStyle name="Percent 3" xfId="6" xr:uid="{00000000-0005-0000-0000-00000E000000}"/>
    <cellStyle name="Percent 4" xfId="15" xr:uid="{00000000-0005-0000-0000-00000F000000}"/>
  </cellStyles>
  <dxfs count="0"/>
  <tableStyles count="0" defaultTableStyle="TableStyleMedium9" defaultPivotStyle="PivotStyleLight16"/>
  <colors>
    <mruColors>
      <color rgb="FFFF3FAD"/>
      <color rgb="FF00FF00"/>
      <color rgb="FF0055B8"/>
      <color rgb="FF4AAAB4"/>
      <color rgb="FF003F75"/>
      <color rgb="FF74B230"/>
      <color rgb="FFFFFFCC"/>
      <color rgb="FF92D050"/>
      <color rgb="FF80C53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38-49BB-A3E3-41C7E44A6C87}"/>
              </c:ext>
            </c:extLst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8-49BB-A3E3-41C7E44A6C87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8-49BB-A3E3-41C7E44A6C8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F38-49BB-A3E3-41C7E44A6C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0-4ABD-AE13-01BF95FF9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0-4ABD-AE13-01BF95FF9B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0-4ABD-AE13-01BF95FF9B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0-4ABD-AE13-01BF95FF9B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0-4ABD-AE13-01BF95FF9BFF}"/>
              </c:ext>
            </c:extLst>
          </c:dPt>
          <c:dLbls>
            <c:dLbl>
              <c:idx val="0"/>
              <c:layout>
                <c:manualLayout>
                  <c:x val="-2.2324196293707871E-3"/>
                  <c:y val="0.191959135208463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0-4ABD-AE13-01BF95FF9BFF}"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F0-4ABD-AE13-01BF95FF9BFF}"/>
                </c:ext>
              </c:extLst>
            </c:dLbl>
            <c:dLbl>
              <c:idx val="2"/>
              <c:layout>
                <c:manualLayout>
                  <c:x val="2.2361183127803941E-3"/>
                  <c:y val="-0.11205959363914698"/>
                </c:manualLayout>
              </c:layout>
              <c:tx>
                <c:rich>
                  <a:bodyPr/>
                  <a:lstStyle/>
                  <a:p>
                    <a:fld id="{F29233FC-F8CC-4224-BFE9-DFE196C1D01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067E3D23-2C7A-48C5-8869-EED3EE2415F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23.33%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F0-4ABD-AE13-01BF95FF9BFF}"/>
                </c:ext>
              </c:extLst>
            </c:dLbl>
            <c:dLbl>
              <c:idx val="3"/>
              <c:layout>
                <c:manualLayout>
                  <c:x val="-4.951100222902853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F0-4ABD-AE13-01BF95FF9BFF}"/>
                </c:ext>
              </c:extLst>
            </c:dLbl>
            <c:dLbl>
              <c:idx val="4"/>
              <c:layout>
                <c:manualLayout>
                  <c:x val="0.23705566483305904"/>
                  <c:y val="-3.99433090502660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F0-4ABD-AE13-01BF95FF9BF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'Comparison-Classfication'!$F$66:$F$70</c:f>
              <c:numCache>
                <c:formatCode>_("$"* #,##0_);_("$"* \(#,##0\);_("$"* "-"_);_(@_)</c:formatCode>
                <c:ptCount val="5"/>
                <c:pt idx="0">
                  <c:v>115123059</c:v>
                </c:pt>
                <c:pt idx="1">
                  <c:v>26574971</c:v>
                </c:pt>
                <c:pt idx="2">
                  <c:v>44815629</c:v>
                </c:pt>
                <c:pt idx="3">
                  <c:v>2535102</c:v>
                </c:pt>
                <c:pt idx="4">
                  <c:v>3103040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F0-4ABD-AE13-01BF95FF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C5B19"/>
            </a:solidFill>
          </c:spPr>
          <c:invertIfNegative val="0"/>
          <c:dLbls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(2)'!$G$12:$K$12</c:f>
              <c:numCache>
                <c:formatCode>0.00%</c:formatCode>
                <c:ptCount val="5"/>
                <c:pt idx="0">
                  <c:v>0.29347316605707885</c:v>
                </c:pt>
                <c:pt idx="1">
                  <c:v>0.30154056016456932</c:v>
                </c:pt>
                <c:pt idx="2">
                  <c:v>0.29961924524735628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7-40AF-9F61-34761FFC2C6A}"/>
            </c:ext>
          </c:extLst>
        </c:ser>
        <c:ser>
          <c:idx val="1"/>
          <c:order val="1"/>
          <c:spPr>
            <a:solidFill>
              <a:srgbClr val="548123"/>
            </a:solidFill>
            <a:ln>
              <a:solidFill>
                <a:srgbClr val="54812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(2)'!$G$14:$K$14</c:f>
              <c:numCache>
                <c:formatCode>0.00%</c:formatCode>
                <c:ptCount val="5"/>
                <c:pt idx="0">
                  <c:v>0.23001592948963862</c:v>
                </c:pt>
                <c:pt idx="1">
                  <c:v>0.20300104539480746</c:v>
                </c:pt>
                <c:pt idx="2">
                  <c:v>0.20815479786147575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7-40AF-9F61-34761FFC2C6A}"/>
            </c:ext>
          </c:extLst>
        </c:ser>
        <c:ser>
          <c:idx val="2"/>
          <c:order val="2"/>
          <c:spPr>
            <a:solidFill>
              <a:srgbClr val="74B23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(2)'!$G$16:$K$16</c:f>
              <c:numCache>
                <c:formatCode>0.00%</c:formatCode>
                <c:ptCount val="5"/>
                <c:pt idx="0">
                  <c:v>6.2490499787890209E-2</c:v>
                </c:pt>
                <c:pt idx="1">
                  <c:v>7.9006017662704306E-2</c:v>
                </c:pt>
                <c:pt idx="2">
                  <c:v>8.6710239418839138E-2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7-40AF-9F61-34761FFC2C6A}"/>
            </c:ext>
          </c:extLst>
        </c:ser>
        <c:ser>
          <c:idx val="3"/>
          <c:order val="3"/>
          <c:spPr>
            <a:solidFill>
              <a:srgbClr val="9CB95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(2)'!$G$18:$K$18</c:f>
              <c:numCache>
                <c:formatCode>0.00%</c:formatCode>
                <c:ptCount val="5"/>
                <c:pt idx="0">
                  <c:v>3.6263452845028091E-2</c:v>
                </c:pt>
                <c:pt idx="1">
                  <c:v>3.2096243406874163E-2</c:v>
                </c:pt>
                <c:pt idx="2">
                  <c:v>4.2224740600736374E-2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27-40AF-9F61-34761FFC2C6A}"/>
            </c:ext>
          </c:extLst>
        </c:ser>
        <c:ser>
          <c:idx val="4"/>
          <c:order val="4"/>
          <c:spPr>
            <a:solidFill>
              <a:srgbClr val="92D050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(2)'!$G$20:$K$20</c:f>
              <c:numCache>
                <c:formatCode>0.00%</c:formatCode>
                <c:ptCount val="5"/>
                <c:pt idx="0">
                  <c:v>0.2635910794933789</c:v>
                </c:pt>
                <c:pt idx="1">
                  <c:v>0.25005473762425401</c:v>
                </c:pt>
                <c:pt idx="2">
                  <c:v>0.27246461491864382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27-40AF-9F61-34761FFC2C6A}"/>
            </c:ext>
          </c:extLst>
        </c:ser>
        <c:ser>
          <c:idx val="5"/>
          <c:order val="5"/>
          <c:spPr>
            <a:solidFill>
              <a:srgbClr val="CC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 Summ (2)'!$G$11:$K$11</c:f>
              <c:strCache>
                <c:ptCount val="5"/>
                <c:pt idx="0">
                  <c:v>FY 05</c:v>
                </c:pt>
                <c:pt idx="1">
                  <c:v>FY 06</c:v>
                </c:pt>
                <c:pt idx="2">
                  <c:v>FY 07</c:v>
                </c:pt>
                <c:pt idx="3">
                  <c:v>FY 08</c:v>
                </c:pt>
                <c:pt idx="4">
                  <c:v>FY 09</c:v>
                </c:pt>
              </c:strCache>
            </c:strRef>
          </c:cat>
          <c:val>
            <c:numRef>
              <c:f>'Rev Summ (2)'!$G$22:$K$22</c:f>
              <c:numCache>
                <c:formatCode>0.00%</c:formatCode>
                <c:ptCount val="5"/>
                <c:pt idx="0">
                  <c:v>0.11416587232698532</c:v>
                </c:pt>
                <c:pt idx="1">
                  <c:v>0.13430139574679076</c:v>
                </c:pt>
                <c:pt idx="2">
                  <c:v>9.0826361952948673E-2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27-40AF-9F61-34761FFC2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020304"/>
        <c:axId val="284018344"/>
        <c:axId val="0"/>
      </c:bar3DChart>
      <c:catAx>
        <c:axId val="28402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4018344"/>
        <c:crosses val="autoZero"/>
        <c:auto val="1"/>
        <c:lblAlgn val="ctr"/>
        <c:lblOffset val="100"/>
        <c:noMultiLvlLbl val="0"/>
      </c:catAx>
      <c:valAx>
        <c:axId val="284018344"/>
        <c:scaling>
          <c:orientation val="minMax"/>
        </c:scaling>
        <c:delete val="1"/>
        <c:axPos val="l"/>
        <c:majorGridlines>
          <c:spPr>
            <a:ln>
              <a:solidFill>
                <a:srgbClr val="548123"/>
              </a:solidFill>
            </a:ln>
          </c:spPr>
        </c:majorGridlines>
        <c:numFmt formatCode="#,##0" sourceLinked="0"/>
        <c:majorTickMark val="none"/>
        <c:minorTickMark val="none"/>
        <c:tickLblPos val="none"/>
        <c:crossAx val="2840203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4447035467168894"/>
          <c:w val="0.98527450809222039"/>
          <c:h val="5.552964847453036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Unicode MS" pitchFamily="34" charset="-128"/>
          <a:ea typeface="Arial Unicode MS" pitchFamily="34" charset="-128"/>
          <a:cs typeface="Arial Unicode MS" pitchFamily="34" charset="-128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38923580741201"/>
          <c:y val="0.15118258365852416"/>
          <c:w val="0.71284723785360427"/>
          <c:h val="0.78576622366648619"/>
        </c:manualLayout>
      </c:layout>
      <c:pieChart>
        <c:varyColors val="1"/>
        <c:ser>
          <c:idx val="0"/>
          <c:order val="0"/>
          <c:tx>
            <c:v>Percentage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02-47CF-95A1-2E1492A1ED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2-47CF-95A1-2E1492A1ED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702-47CF-95A1-2E1492A1ED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2-47CF-95A1-2E1492A1ED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02-47CF-95A1-2E1492A1ED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2-47CF-95A1-2E1492A1ED2F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02-47CF-95A1-2E1492A1ED2F}"/>
              </c:ext>
            </c:extLst>
          </c:dPt>
          <c:dLbls>
            <c:dLbl>
              <c:idx val="0"/>
              <c:layout>
                <c:manualLayout>
                  <c:x val="5.6792507942108945E-2"/>
                  <c:y val="1.8264840182648415E-2"/>
                </c:manualLayout>
              </c:layout>
              <c:tx>
                <c:rich>
                  <a:bodyPr/>
                  <a:lstStyle/>
                  <a:p>
                    <a:fld id="{CAF095F9-2DA8-4CC0-A2E0-9BAEF96022E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97D445C-47D9-4F12-9F0C-51CFDD45107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755EBC-2E40-41F8-BEDD-9739CBC7514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702-47CF-95A1-2E1492A1ED2F}"/>
                </c:ext>
              </c:extLst>
            </c:dLbl>
            <c:dLbl>
              <c:idx val="1"/>
              <c:layout>
                <c:manualLayout>
                  <c:x val="4.6466597407180128E-2"/>
                  <c:y val="-3.0441400304414001E-3"/>
                </c:manualLayout>
              </c:layout>
              <c:tx>
                <c:rich>
                  <a:bodyPr/>
                  <a:lstStyle/>
                  <a:p>
                    <a:fld id="{C39BE1DA-2111-4C9C-8C89-E4960C254A03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C8E0B157-AB63-461B-9194-470ADA1BB3A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E6DFE4A-8CA0-42B0-A2B0-EFFFE8273B8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702-47CF-95A1-2E1492A1ED2F}"/>
                </c:ext>
              </c:extLst>
            </c:dLbl>
            <c:dLbl>
              <c:idx val="2"/>
              <c:layout>
                <c:manualLayout>
                  <c:x val="-0.19823692568809251"/>
                  <c:y val="0"/>
                </c:manualLayout>
              </c:layout>
              <c:tx>
                <c:rich>
                  <a:bodyPr/>
                  <a:lstStyle/>
                  <a:p>
                    <a:fld id="{EBB6650D-0144-47C0-888D-A4D295EF8147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EFDEE36-0FC9-46F8-AA3F-9678750106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FD73978-5B5A-4527-A2C3-FFD7F5226DC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702-47CF-95A1-2E1492A1ED2F}"/>
                </c:ext>
              </c:extLst>
            </c:dLbl>
            <c:dLbl>
              <c:idx val="3"/>
              <c:layout>
                <c:manualLayout>
                  <c:x val="2.5814776337322299E-3"/>
                  <c:y val="6.3926940639269403E-2"/>
                </c:manualLayout>
              </c:layout>
              <c:tx>
                <c:rich>
                  <a:bodyPr/>
                  <a:lstStyle/>
                  <a:p>
                    <a:fld id="{F07F7E87-3B4C-49B4-91F6-02757488D58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9D4527E-512D-4942-81FC-8C8C0AE7D3E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D3DE211-67E2-4A1A-9B4D-E1CBDEB9CEE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702-47CF-95A1-2E1492A1ED2F}"/>
                </c:ext>
              </c:extLst>
            </c:dLbl>
            <c:dLbl>
              <c:idx val="4"/>
              <c:layout>
                <c:manualLayout>
                  <c:x val="-0.11695540022347931"/>
                  <c:y val="0.10736639401556287"/>
                </c:manualLayout>
              </c:layout>
              <c:tx>
                <c:rich>
                  <a:bodyPr/>
                  <a:lstStyle/>
                  <a:p>
                    <a:fld id="{BD0F154F-DF3D-4003-9AF4-E5E4C36C3EC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FD870B90-DE41-4F9E-BBF2-15146BAF274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646B3B-7CE6-4F09-9CE2-0BFAC44285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702-47CF-95A1-2E1492A1ED2F}"/>
                </c:ext>
              </c:extLst>
            </c:dLbl>
            <c:dLbl>
              <c:idx val="5"/>
              <c:layout>
                <c:manualLayout>
                  <c:x val="-5.288525822744497E-2"/>
                  <c:y val="9.2581019965096955E-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699C4B-93AA-4017-AF95-337572C1814F}" type="CATEGORYNAME">
                      <a:rPr lang="en-US" sz="1100"/>
                      <a:pPr>
                        <a:defRPr sz="1100"/>
                      </a:pPr>
                      <a:t>[CATEGORY NAME]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A1FDDDD0-D5CD-4376-AC84-7392A9A40DBE}" type="CELLRANGE">
                      <a:rPr lang="en-US" sz="1100"/>
                      <a:pPr>
                        <a:defRPr sz="1100"/>
                      </a:pPr>
                      <a:t>[CELLRANGE]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D2B9A063-BAFF-4376-9089-72A75D8FFC69}" type="VALUE">
                      <a:rPr lang="en-US" sz="1100"/>
                      <a:pPr>
                        <a:defRPr sz="11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37188877638025"/>
                      <c:h val="0.171110648206011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702-47CF-95A1-2E1492A1ED2F}"/>
                </c:ext>
              </c:extLst>
            </c:dLbl>
            <c:dLbl>
              <c:idx val="6"/>
              <c:layout>
                <c:manualLayout>
                  <c:x val="0.27285707470565035"/>
                  <c:y val="1.17596411559666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6DE8AF-8C70-400A-B7A0-2F1BFD80C155}" type="CATEGORYNAME">
                      <a:rPr lang="en-US" sz="1100"/>
                      <a:pPr>
                        <a:defRPr sz="1100"/>
                      </a:pPr>
                      <a:t>[CATEGORY NAME]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1C1F617F-5E81-4976-9796-6B7EB36E3E3A}" type="CELLRANGE">
                      <a:rPr lang="en-US" sz="1100"/>
                      <a:pPr>
                        <a:defRPr sz="1100"/>
                      </a:pPr>
                      <a:t>[CELLRANGE]</a:t>
                    </a:fld>
                    <a:endParaRPr lang="en-US" sz="1100" baseline="0"/>
                  </a:p>
                  <a:p>
                    <a:pPr>
                      <a:defRPr sz="1100"/>
                    </a:pPr>
                    <a:fld id="{E884ACB7-A8B7-47C2-82F6-120E66B65C67}" type="VALUE">
                      <a:rPr lang="en-US" sz="1100"/>
                      <a:pPr>
                        <a:defRPr sz="11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837556886098794"/>
                      <c:h val="0.159352858670443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702-47CF-95A1-2E1492A1E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Graph!$B$52:$B$57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Carryover Allocations</c:v>
                </c:pt>
              </c:strCache>
            </c:strRef>
          </c:cat>
          <c:val>
            <c:numRef>
              <c:f>Graph!$F$52:$F$57</c:f>
              <c:numCache>
                <c:formatCode>0.00%</c:formatCode>
                <c:ptCount val="6"/>
                <c:pt idx="0">
                  <c:v>0.25958441091587531</c:v>
                </c:pt>
                <c:pt idx="1">
                  <c:v>0.27347858263616298</c:v>
                </c:pt>
                <c:pt idx="2">
                  <c:v>1.4267520471200742E-2</c:v>
                </c:pt>
                <c:pt idx="3">
                  <c:v>0.33355511764503121</c:v>
                </c:pt>
                <c:pt idx="4">
                  <c:v>4.7976432008062474E-2</c:v>
                </c:pt>
                <c:pt idx="5">
                  <c:v>7.1037936323667297E-2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Graph!$D$52:$D$57</c15:f>
                <c15:dlblRangeCache>
                  <c:ptCount val="6"/>
                  <c:pt idx="0">
                    <c:v> $52,994,625 </c:v>
                  </c:pt>
                  <c:pt idx="1">
                    <c:v> $55,810,730 </c:v>
                  </c:pt>
                  <c:pt idx="2">
                    <c:v> $2,912,740 </c:v>
                  </c:pt>
                  <c:pt idx="3">
                    <c:v> $68,095,878 </c:v>
                  </c:pt>
                  <c:pt idx="4">
                    <c:v> $9,794,475 </c:v>
                  </c:pt>
                  <c:pt idx="5">
                    <c:v> $14,543,353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702-47CF-95A1-2E1492A1ED2F}"/>
            </c:ext>
          </c:extLst>
        </c:ser>
        <c:ser>
          <c:idx val="1"/>
          <c:order val="1"/>
          <c:tx>
            <c:v>Budget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5A-4886-A935-8D9949185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5A-4886-A935-8D99491857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5A-4886-A935-8D99491857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B5A-4886-A935-8D99491857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B5A-4886-A935-8D99491857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B5A-4886-A935-8D99491857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B5A-4886-A935-8D9949185780}"/>
              </c:ext>
            </c:extLst>
          </c:dPt>
          <c:cat>
            <c:strRef>
              <c:f>Graph!$B$52:$B$57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Carryover Allocations</c:v>
                </c:pt>
              </c:strCache>
            </c:strRef>
          </c:cat>
          <c:val>
            <c:numRef>
              <c:f>Graph!$D$52:$D$57</c:f>
              <c:numCache>
                <c:formatCode>_("$"* #,##0_);_("$"* \(#,##0\);_("$"* "-"_);_(@_)</c:formatCode>
                <c:ptCount val="6"/>
                <c:pt idx="0">
                  <c:v>52994625</c:v>
                </c:pt>
                <c:pt idx="1">
                  <c:v>55810730</c:v>
                </c:pt>
                <c:pt idx="2">
                  <c:v>2912740</c:v>
                </c:pt>
                <c:pt idx="3">
                  <c:v>68095878</c:v>
                </c:pt>
                <c:pt idx="4">
                  <c:v>9794475</c:v>
                </c:pt>
                <c:pt idx="5">
                  <c:v>14543353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2-47CF-95A1-2E1492A1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7919786917795"/>
          <c:y val="0.13378695979834204"/>
          <c:w val="0.60977380238295376"/>
          <c:h val="0.77731056885216088"/>
        </c:manualLayout>
      </c:layout>
      <c:pieChart>
        <c:varyColors val="1"/>
        <c:ser>
          <c:idx val="0"/>
          <c:order val="0"/>
          <c:tx>
            <c:strRef>
              <c:f>'Graph Compare'!$H$60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4-41E4-86AE-2546FC4879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F64-41E4-86AE-2546FC4879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4-41E4-86AE-2546FC4879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F64-41E4-86AE-2546FC4879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64-41E4-86AE-2546FC4879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64-41E4-86AE-2546FC48798B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F64-41E4-86AE-2546FC48798B}"/>
              </c:ext>
            </c:extLst>
          </c:dPt>
          <c:dLbls>
            <c:dLbl>
              <c:idx val="0"/>
              <c:layout>
                <c:manualLayout>
                  <c:x val="3.8015382231550481E-2"/>
                  <c:y val="3.7681159420289857E-2"/>
                </c:manualLayout>
              </c:layout>
              <c:tx>
                <c:rich>
                  <a:bodyPr/>
                  <a:lstStyle/>
                  <a:p>
                    <a:fld id="{7FBC5950-237C-4518-A3C4-68F661A8439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731C084-EDB4-475C-87AD-0C8F3D8678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BC190D-A95D-4DF6-8633-746507AF16C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F64-41E4-86AE-2546FC48798B}"/>
                </c:ext>
              </c:extLst>
            </c:dLbl>
            <c:dLbl>
              <c:idx val="1"/>
              <c:layout>
                <c:manualLayout>
                  <c:x val="6.7085968643912613E-2"/>
                  <c:y val="-2.8985507246376812E-2"/>
                </c:manualLayout>
              </c:layout>
              <c:tx>
                <c:rich>
                  <a:bodyPr/>
                  <a:lstStyle/>
                  <a:p>
                    <a:fld id="{BEEB4D53-C6F5-43A3-9C75-A654EA6AD29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5A7254B-BD65-448D-9ABE-003F599BA62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3EDD94-3D70-420B-B283-E4F9D43798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F64-41E4-86AE-2546FC48798B}"/>
                </c:ext>
              </c:extLst>
            </c:dLbl>
            <c:dLbl>
              <c:idx val="2"/>
              <c:layout>
                <c:manualLayout>
                  <c:x val="0.11635173046118559"/>
                  <c:y val="1.1709568796729757E-2"/>
                </c:manualLayout>
              </c:layout>
              <c:tx>
                <c:rich>
                  <a:bodyPr/>
                  <a:lstStyle/>
                  <a:p>
                    <a:fld id="{EB12C6DA-52CD-44E3-80D4-714373ADBC5D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BF2C306-1A4B-4551-9987-2610F3E641C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9A6F935-525F-4E6C-B0EF-25D976F420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64-41E4-86AE-2546FC48798B}"/>
                </c:ext>
              </c:extLst>
            </c:dLbl>
            <c:dLbl>
              <c:idx val="3"/>
              <c:layout>
                <c:manualLayout>
                  <c:x val="-3.3542984321956307E-2"/>
                  <c:y val="8.6956521739130436E-3"/>
                </c:manualLayout>
              </c:layout>
              <c:tx>
                <c:rich>
                  <a:bodyPr/>
                  <a:lstStyle/>
                  <a:p>
                    <a:fld id="{66F8D127-627E-488E-829D-9B1DC4B9F44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F845B3-984D-46A1-B36D-6912548A7EA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D50FE0-D7DE-4AA7-951E-861ADB04F76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64-41E4-86AE-2546FC48798B}"/>
                </c:ext>
              </c:extLst>
            </c:dLbl>
            <c:dLbl>
              <c:idx val="4"/>
              <c:layout>
                <c:manualLayout>
                  <c:x val="-0.1207547435590427"/>
                  <c:y val="0.11014492753623188"/>
                </c:manualLayout>
              </c:layout>
              <c:tx>
                <c:rich>
                  <a:bodyPr/>
                  <a:lstStyle/>
                  <a:p>
                    <a:fld id="{09FD742B-08D5-48D3-A3C4-14C49C2BF9B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2FA6CD2-36E7-4F3B-823B-BDB1875755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D320B6-6899-4D7F-A27E-AF006981C0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F64-41E4-86AE-2546FC48798B}"/>
                </c:ext>
              </c:extLst>
            </c:dLbl>
            <c:dLbl>
              <c:idx val="5"/>
              <c:layout>
                <c:manualLayout>
                  <c:x val="-4.0251581186347606E-2"/>
                  <c:y val="0"/>
                </c:manualLayout>
              </c:layout>
              <c:tx>
                <c:rich>
                  <a:bodyPr/>
                  <a:lstStyle/>
                  <a:p>
                    <a:fld id="{EA1B658A-424E-4A42-88E0-1C992ADAC49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B2A2B85-3EA9-430C-9F28-6F728C4E7D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4D89ED-36FA-48EE-A961-D9FF5C4D31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F64-41E4-86AE-2546FC48798B}"/>
                </c:ext>
              </c:extLst>
            </c:dLbl>
            <c:dLbl>
              <c:idx val="6"/>
              <c:layout>
                <c:manualLayout>
                  <c:x val="0.24757547558449353"/>
                  <c:y val="0"/>
                </c:manualLayout>
              </c:layout>
              <c:tx>
                <c:rich>
                  <a:bodyPr/>
                  <a:lstStyle/>
                  <a:p>
                    <a:fld id="{C7A43508-950B-47ED-B78E-F7CCC84B127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08B2AA3-46F8-47CD-BC18-76EA9FEF7F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ACDB35-7C98-4B50-9DA2-264273D117F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64-41E4-86AE-2546FC487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'Graph Compare'!$C$61:$C$67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HEERF Lost Revenue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Compare'!$H$61:$H$67</c:f>
              <c:numCache>
                <c:formatCode>0.00%</c:formatCode>
                <c:ptCount val="7"/>
                <c:pt idx="0">
                  <c:v>0.20059111136984356</c:v>
                </c:pt>
                <c:pt idx="1">
                  <c:v>0.16713351699506157</c:v>
                </c:pt>
                <c:pt idx="2">
                  <c:v>0.13301846366724956</c:v>
                </c:pt>
                <c:pt idx="3">
                  <c:v>0.32927099561009221</c:v>
                </c:pt>
                <c:pt idx="4">
                  <c:v>3.9677912677966998E-2</c:v>
                </c:pt>
                <c:pt idx="5">
                  <c:v>3.7518812678705112E-2</c:v>
                </c:pt>
                <c:pt idx="6">
                  <c:v>9.2789187001080992E-2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Compare'!$F$61:$F$67</c15:f>
                <c15:dlblRangeCache>
                  <c:ptCount val="7"/>
                  <c:pt idx="0">
                    <c:v> $40,139,033 </c:v>
                  </c:pt>
                  <c:pt idx="1">
                    <c:v> $33,444,043 </c:v>
                  </c:pt>
                  <c:pt idx="2">
                    <c:v> $26,617,493 </c:v>
                  </c:pt>
                  <c:pt idx="3">
                    <c:v> $65,888,360 </c:v>
                  </c:pt>
                  <c:pt idx="4">
                    <c:v> $7,939,699 </c:v>
                  </c:pt>
                  <c:pt idx="5">
                    <c:v> $7,507,655 </c:v>
                  </c:pt>
                  <c:pt idx="6">
                    <c:v> $18,567,464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F64-41E4-86AE-2546FC4879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7919786917795"/>
          <c:y val="0.13378695979834204"/>
          <c:w val="0.60977380238295376"/>
          <c:h val="0.777310568852160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4A-4209-A680-4D5739C8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4A-4209-A680-4D5739C8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4A-4209-A680-4D5739C81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4A-4209-A680-4D5739C81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4A-4209-A680-4D5739C812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4A-4209-A680-4D5739C81277}"/>
              </c:ext>
            </c:extLst>
          </c:dPt>
          <c:dPt>
            <c:idx val="6"/>
            <c:bubble3D val="0"/>
            <c:spPr>
              <a:solidFill>
                <a:srgbClr val="0055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4A-4209-A680-4D5739C81277}"/>
              </c:ext>
            </c:extLst>
          </c:dPt>
          <c:dLbls>
            <c:dLbl>
              <c:idx val="0"/>
              <c:layout>
                <c:manualLayout>
                  <c:x val="7.9439400181156403E-2"/>
                  <c:y val="0.12216959018736517"/>
                </c:manualLayout>
              </c:layout>
              <c:tx>
                <c:rich>
                  <a:bodyPr/>
                  <a:lstStyle/>
                  <a:p>
                    <a:fld id="{7FBC5950-237C-4518-A3C4-68F661A8439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731C084-EDB4-475C-87AD-0C8F3D8678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BC190D-A95D-4DF6-8633-746507AF16C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24A-4209-A680-4D5739C81277}"/>
                </c:ext>
              </c:extLst>
            </c:dLbl>
            <c:dLbl>
              <c:idx val="1"/>
              <c:layout>
                <c:manualLayout>
                  <c:x val="6.7085968643912613E-2"/>
                  <c:y val="-2.8985507246376812E-2"/>
                </c:manualLayout>
              </c:layout>
              <c:tx>
                <c:rich>
                  <a:bodyPr/>
                  <a:lstStyle/>
                  <a:p>
                    <a:fld id="{BEEB4D53-C6F5-43A3-9C75-A654EA6AD29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5A7254B-BD65-448D-9ABE-003F599BA62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3EDD94-3D70-420B-B283-E4F9D43798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4A-4209-A680-4D5739C81277}"/>
                </c:ext>
              </c:extLst>
            </c:dLbl>
            <c:dLbl>
              <c:idx val="2"/>
              <c:layout>
                <c:manualLayout>
                  <c:x val="-0.14254797758148696"/>
                  <c:y val="-1.8481848184818676E-2"/>
                </c:manualLayout>
              </c:layout>
              <c:tx>
                <c:rich>
                  <a:bodyPr/>
                  <a:lstStyle/>
                  <a:p>
                    <a:fld id="{EB12C6DA-52CD-44E3-80D4-714373ADBC5D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6BF2C306-1A4B-4551-9987-2610F3E641C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9A6F935-525F-4E6C-B0EF-25D976F420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24A-4209-A680-4D5739C81277}"/>
                </c:ext>
              </c:extLst>
            </c:dLbl>
            <c:dLbl>
              <c:idx val="3"/>
              <c:layout>
                <c:manualLayout>
                  <c:x val="-3.3542984321956307E-2"/>
                  <c:y val="8.6956521739130436E-3"/>
                </c:manualLayout>
              </c:layout>
              <c:tx>
                <c:rich>
                  <a:bodyPr/>
                  <a:lstStyle/>
                  <a:p>
                    <a:fld id="{66F8D127-627E-488E-829D-9B1DC4B9F44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F845B3-984D-46A1-B36D-6912548A7EA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D50FE0-D7DE-4AA7-951E-861ADB04F76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24A-4209-A680-4D5739C81277}"/>
                </c:ext>
              </c:extLst>
            </c:dLbl>
            <c:dLbl>
              <c:idx val="4"/>
              <c:layout>
                <c:manualLayout>
                  <c:x val="-0.13732431922015984"/>
                  <c:y val="0.21311525168264861"/>
                </c:manualLayout>
              </c:layout>
              <c:tx>
                <c:rich>
                  <a:bodyPr/>
                  <a:lstStyle/>
                  <a:p>
                    <a:fld id="{09FD742B-08D5-48D3-A3C4-14C49C2BF9B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2FA6CD2-36E7-4F3B-823B-BDB1875755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5D320B6-6899-4D7F-A27E-AF006981C0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24A-4209-A680-4D5739C81277}"/>
                </c:ext>
              </c:extLst>
            </c:dLbl>
            <c:dLbl>
              <c:idx val="5"/>
              <c:layout>
                <c:manualLayout>
                  <c:x val="-3.9215926107495497E-2"/>
                  <c:y val="0"/>
                </c:manualLayout>
              </c:layout>
              <c:tx>
                <c:rich>
                  <a:bodyPr/>
                  <a:lstStyle/>
                  <a:p>
                    <a:fld id="{EA1B658A-424E-4A42-88E0-1C992ADAC49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B2A2B85-3EA9-430C-9F28-6F728C4E7D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4D89ED-36FA-48EE-A961-D9FF5C4D31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778523735109801"/>
                      <c:h val="0.188409240924092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24A-4209-A680-4D5739C81277}"/>
                </c:ext>
              </c:extLst>
            </c:dLbl>
            <c:dLbl>
              <c:idx val="6"/>
              <c:layout>
                <c:manualLayout>
                  <c:x val="0.30039101602519874"/>
                  <c:y val="0"/>
                </c:manualLayout>
              </c:layout>
              <c:tx>
                <c:rich>
                  <a:bodyPr/>
                  <a:lstStyle/>
                  <a:p>
                    <a:fld id="{C7A43508-950B-47ED-B78E-F7CCC84B127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08B2AA3-46F8-47CD-BC18-76EA9FEF7F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ACDB35-7C98-4B50-9DA2-264273D117F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7917027495393"/>
                      <c:h val="0.188409240924092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24A-4209-A680-4D5739C812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'Graph Compare'!$C$73:$C$78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Local Taxes</c:v>
                </c:pt>
                <c:pt idx="4">
                  <c:v>Other Revenues</c:v>
                </c:pt>
                <c:pt idx="5">
                  <c:v>Carryover Allocations</c:v>
                </c:pt>
              </c:strCache>
            </c:strRef>
          </c:cat>
          <c:val>
            <c:numRef>
              <c:f>'Graph Compare'!$H$73:$H$78</c:f>
              <c:numCache>
                <c:formatCode>0.00%</c:formatCode>
                <c:ptCount val="6"/>
                <c:pt idx="0">
                  <c:v>0.25958441091587531</c:v>
                </c:pt>
                <c:pt idx="1">
                  <c:v>0.27347858263616298</c:v>
                </c:pt>
                <c:pt idx="2">
                  <c:v>1.4267520471200742E-2</c:v>
                </c:pt>
                <c:pt idx="3">
                  <c:v>0.33355511764503121</c:v>
                </c:pt>
                <c:pt idx="4">
                  <c:v>4.7976432008062474E-2</c:v>
                </c:pt>
                <c:pt idx="5">
                  <c:v>7.1037936323667297E-2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Compare'!$F$73:$F$78</c15:f>
                <c15:dlblRangeCache>
                  <c:ptCount val="6"/>
                  <c:pt idx="0">
                    <c:v> $52,994,625 </c:v>
                  </c:pt>
                  <c:pt idx="1">
                    <c:v> $55,810,730 </c:v>
                  </c:pt>
                  <c:pt idx="2">
                    <c:v> $2,912,740 </c:v>
                  </c:pt>
                  <c:pt idx="3">
                    <c:v> $68,095,878 </c:v>
                  </c:pt>
                  <c:pt idx="4">
                    <c:v> $9,794,475 </c:v>
                  </c:pt>
                  <c:pt idx="5">
                    <c:v> $14,543,353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624A-4209-A680-4D5739C81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8694975714801"/>
          <c:y val="9.5117819728757033E-2"/>
          <c:w val="0.60982747124217063"/>
          <c:h val="0.841352064484448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B-4E91-8C44-3B1E5D8088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B-4E91-8C44-3B1E5D8088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8B-4E91-8C44-3B1E5D8088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B-4E91-8C44-3B1E5D8088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8B-4E91-8C44-3B1E5D8088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8B-4E91-8C44-3B1E5D808820}"/>
              </c:ext>
            </c:extLst>
          </c:dPt>
          <c:dLbls>
            <c:dLbl>
              <c:idx val="0"/>
              <c:layout>
                <c:manualLayout>
                  <c:x val="-5.5667230936603355E-2"/>
                  <c:y val="-0.2938647579912963"/>
                </c:manualLayout>
              </c:layout>
              <c:tx>
                <c:rich>
                  <a:bodyPr/>
                  <a:lstStyle/>
                  <a:p>
                    <a:fld id="{1DD8A5FF-E2A5-4EA0-A83E-6E741ADC1CE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8B851C6-7717-4208-A415-8DDFCAE1AF04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45.75%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D8B-4E91-8C44-3B1E5D808820}"/>
                </c:ext>
              </c:extLst>
            </c:dLbl>
            <c:dLbl>
              <c:idx val="1"/>
              <c:layout>
                <c:manualLayout>
                  <c:x val="0.18010982083972485"/>
                  <c:y val="-7.46233842592555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8B-4E91-8C44-3B1E5D808820}"/>
                </c:ext>
              </c:extLst>
            </c:dLbl>
            <c:dLbl>
              <c:idx val="2"/>
              <c:layout>
                <c:manualLayout>
                  <c:x val="-0.25369167817465665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8B-4E91-8C44-3B1E5D808820}"/>
                </c:ext>
              </c:extLst>
            </c:dLbl>
            <c:dLbl>
              <c:idx val="3"/>
              <c:layout>
                <c:manualLayout>
                  <c:x val="-0.15919474434043732"/>
                  <c:y val="-0.18585005025028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8B-4E91-8C44-3B1E5D808820}"/>
                </c:ext>
              </c:extLst>
            </c:dLbl>
            <c:dLbl>
              <c:idx val="4"/>
              <c:layout>
                <c:manualLayout>
                  <c:x val="5.3903303734418664E-2"/>
                  <c:y val="-0.287143889553128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8B-4E91-8C44-3B1E5D808820}"/>
                </c:ext>
              </c:extLst>
            </c:dLbl>
            <c:dLbl>
              <c:idx val="5"/>
              <c:layout>
                <c:manualLayout>
                  <c:x val="7.0589439855418351E-2"/>
                  <c:y val="0"/>
                </c:manualLayout>
              </c:layout>
              <c:tx>
                <c:rich>
                  <a:bodyPr/>
                  <a:lstStyle/>
                  <a:p>
                    <a:fld id="{4CBCBD1F-4DC2-41E5-8651-689926D23D1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3AF760A-3D0D-49DF-9B42-16E9B4526C6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14.90%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38989445434573"/>
                      <c:h val="0.14359499395793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D8B-4E91-8C44-3B1E5D8088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Function'!$A$51:$A$56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Function'!$D$51:$D$56</c:f>
              <c:numCache>
                <c:formatCode>_("$"* #,##0_);_("$"* \(#,##0\);_("$"* "-"_);_(@_)</c:formatCode>
                <c:ptCount val="6"/>
                <c:pt idx="0">
                  <c:v>87894414</c:v>
                </c:pt>
                <c:pt idx="1">
                  <c:v>59839</c:v>
                </c:pt>
                <c:pt idx="2">
                  <c:v>21908283</c:v>
                </c:pt>
                <c:pt idx="3">
                  <c:v>13073380</c:v>
                </c:pt>
                <c:pt idx="4">
                  <c:v>40588474</c:v>
                </c:pt>
                <c:pt idx="5">
                  <c:v>28627411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8B-4E91-8C44-3B1E5D80882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D8B-4E91-8C44-3B1E5D8088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D8B-4E91-8C44-3B1E5D8088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D8B-4E91-8C44-3B1E5D8088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D8B-4E91-8C44-3B1E5D8088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D8B-4E91-8C44-3B1E5D8088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D8B-4E91-8C44-3B1E5D808820}"/>
              </c:ext>
            </c:extLst>
          </c:dPt>
          <c:cat>
            <c:strRef>
              <c:f>'Exp by Function'!$A$51:$A$56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Function'!$F$51:$F$56</c:f>
              <c:numCache>
                <c:formatCode>0.00%</c:formatCode>
                <c:ptCount val="6"/>
                <c:pt idx="0">
                  <c:v>0.45752175479271201</c:v>
                </c:pt>
                <c:pt idx="1">
                  <c:v>3.1141524403406449E-4</c:v>
                </c:pt>
                <c:pt idx="2">
                  <c:v>0.11401549652922587</c:v>
                </c:pt>
                <c:pt idx="3">
                  <c:v>6.8036728940157054E-2</c:v>
                </c:pt>
                <c:pt idx="4">
                  <c:v>0.21123129623958092</c:v>
                </c:pt>
                <c:pt idx="5">
                  <c:v>0.14898330825429004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D8B-4E91-8C44-3B1E5D808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40-468E-8E59-5D9BACBE93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40-468E-8E59-5D9BACBE93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40-468E-8E59-5D9BACBE9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40-468E-8E59-5D9BACBE93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40-468E-8E59-5D9BACBE93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40-468E-8E59-5D9BACBE93CE}"/>
              </c:ext>
            </c:extLst>
          </c:dPt>
          <c:dLbls>
            <c:dLbl>
              <c:idx val="0"/>
              <c:layout>
                <c:manualLayout>
                  <c:x val="-4.715883505037078E-2"/>
                  <c:y val="-0.42826752634181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68E-8E59-5D9BACBE93CE}"/>
                </c:ext>
              </c:extLst>
            </c:dLbl>
            <c:dLbl>
              <c:idx val="1"/>
              <c:layout>
                <c:manualLayout>
                  <c:x val="0.21318490693002939"/>
                  <c:y val="-1.45597426173795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68E-8E59-5D9BACBE93CE}"/>
                </c:ext>
              </c:extLst>
            </c:dLbl>
            <c:dLbl>
              <c:idx val="2"/>
              <c:layout>
                <c:manualLayout>
                  <c:x val="-0.20299938115796226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68E-8E59-5D9BACBE93CE}"/>
                </c:ext>
              </c:extLst>
            </c:dLbl>
            <c:dLbl>
              <c:idx val="3"/>
              <c:layout>
                <c:manualLayout>
                  <c:x val="-0.11224155667812002"/>
                  <c:y val="-9.15517380071763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68E-8E59-5D9BACBE93CE}"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68E-8E59-5D9BACBE93CE}"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0-468E-8E59-5D9BACBE93C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'Comparison-Function'!$F$60:$F$65</c:f>
              <c:numCache>
                <c:formatCode>_("$"* #,##0_);_("$"* \(#,##0\);_("$"* "-"_);_(@_)</c:formatCode>
                <c:ptCount val="6"/>
                <c:pt idx="0">
                  <c:v>83075562</c:v>
                </c:pt>
                <c:pt idx="1">
                  <c:v>1249161</c:v>
                </c:pt>
                <c:pt idx="2">
                  <c:v>19591485</c:v>
                </c:pt>
                <c:pt idx="3">
                  <c:v>11653430</c:v>
                </c:pt>
                <c:pt idx="4">
                  <c:v>42123349</c:v>
                </c:pt>
                <c:pt idx="5">
                  <c:v>26403105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40-468E-8E59-5D9BACBE93C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040-468E-8E59-5D9BACBE93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040-468E-8E59-5D9BACBE93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040-468E-8E59-5D9BACBE9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040-468E-8E59-5D9BACBE93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040-468E-8E59-5D9BACBE93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040-468E-8E59-5D9BACBE93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'Comparison-Function'!$H$60:$H$65</c:f>
              <c:numCache>
                <c:formatCode>0.00%</c:formatCode>
                <c:ptCount val="6"/>
                <c:pt idx="0">
                  <c:v>0.45126195291532861</c:v>
                </c:pt>
                <c:pt idx="1">
                  <c:v>6.7853748899786527E-3</c:v>
                </c:pt>
                <c:pt idx="2">
                  <c:v>0.106419885328147</c:v>
                </c:pt>
                <c:pt idx="3">
                  <c:v>6.330080054062201E-2</c:v>
                </c:pt>
                <c:pt idx="4">
                  <c:v>0.22881175011580365</c:v>
                </c:pt>
                <c:pt idx="5">
                  <c:v>0.14342023621012009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040-468E-8E59-5D9BACBE93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C0-48E6-B88E-23DC1C8A3D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0-48E6-B88E-23DC1C8A3D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C0-48E6-B88E-23DC1C8A3D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C0-48E6-B88E-23DC1C8A3D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C0-48E6-B88E-23DC1C8A3D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C0-48E6-B88E-23DC1C8A3D8C}"/>
              </c:ext>
            </c:extLst>
          </c:dPt>
          <c:dLbls>
            <c:dLbl>
              <c:idx val="0"/>
              <c:layout>
                <c:manualLayout>
                  <c:x val="-3.1861544992160061E-2"/>
                  <c:y val="-0.4003269014957736"/>
                </c:manualLayout>
              </c:layout>
              <c:tx>
                <c:rich>
                  <a:bodyPr/>
                  <a:lstStyle/>
                  <a:p>
                    <a:fld id="{83BAA217-6878-493E-BEEB-67250C63F82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A600BE-8CDC-4112-83D0-FB851A6198F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45.75%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C0-48E6-B88E-23DC1C8A3D8C}"/>
                </c:ext>
              </c:extLst>
            </c:dLbl>
            <c:dLbl>
              <c:idx val="1"/>
              <c:layout>
                <c:manualLayout>
                  <c:x val="0.21213201551833202"/>
                  <c:y val="-5.26095998810119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0-48E6-B88E-23DC1C8A3D8C}"/>
                </c:ext>
              </c:extLst>
            </c:dLbl>
            <c:dLbl>
              <c:idx val="2"/>
              <c:layout>
                <c:manualLayout>
                  <c:x val="-0.3030417712518611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C0-48E6-B88E-23DC1C8A3D8C}"/>
                </c:ext>
              </c:extLst>
            </c:dLbl>
            <c:dLbl>
              <c:idx val="3"/>
              <c:layout>
                <c:manualLayout>
                  <c:x val="-0.10206983116450981"/>
                  <c:y val="-0.128531545146118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C0-48E6-B88E-23DC1C8A3D8C}"/>
                </c:ext>
              </c:extLst>
            </c:dLbl>
            <c:dLbl>
              <c:idx val="4"/>
              <c:layout>
                <c:manualLayout>
                  <c:x val="2.1702362752811958E-2"/>
                  <c:y val="-0.2555802767852792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C0-48E6-B88E-23DC1C8A3D8C}"/>
                </c:ext>
              </c:extLst>
            </c:dLbl>
            <c:dLbl>
              <c:idx val="5"/>
              <c:layout>
                <c:manualLayout>
                  <c:x val="3.9652954995042032E-2"/>
                  <c:y val="-1.3252608731931109E-2"/>
                </c:manualLayout>
              </c:layout>
              <c:tx>
                <c:rich>
                  <a:bodyPr/>
                  <a:lstStyle/>
                  <a:p>
                    <a:fld id="{C26075AE-0A59-4ECB-B406-0B44B21BB0B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75A79D1-D997-4857-8620-71E97B6E629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14.90%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AC0-48E6-B88E-23DC1C8A3D8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'Comparison-Function'!$F$70:$F$75</c:f>
              <c:numCache>
                <c:formatCode>_("$"* #,##0_);_("$"* \(#,##0\);_("$"* "-"_);_(@_)</c:formatCode>
                <c:ptCount val="6"/>
                <c:pt idx="0">
                  <c:v>87894414</c:v>
                </c:pt>
                <c:pt idx="1">
                  <c:v>59839</c:v>
                </c:pt>
                <c:pt idx="2">
                  <c:v>21908283</c:v>
                </c:pt>
                <c:pt idx="3">
                  <c:v>13073380</c:v>
                </c:pt>
                <c:pt idx="4">
                  <c:v>40588474</c:v>
                </c:pt>
                <c:pt idx="5">
                  <c:v>28627411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C0-48E6-B88E-23DC1C8A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48053457646483"/>
          <c:y val="0.1505334108441875"/>
          <c:w val="0.45212288782287224"/>
          <c:h val="0.809226628469876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4-4BAC-9E3E-BBBDC06741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4-4BAC-9E3E-BBBDC06741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B4-4BAC-9E3E-BBBDC06741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B4-4BAC-9E3E-BBBDC06741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B4-4BAC-9E3E-BBBDC06741FE}"/>
              </c:ext>
            </c:extLst>
          </c:dPt>
          <c:dLbls>
            <c:dLbl>
              <c:idx val="0"/>
              <c:layout>
                <c:manualLayout>
                  <c:x val="-2.1699612366713833E-2"/>
                  <c:y val="0.227906351525689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B4-4BAC-9E3E-BBBDC06741FE}"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B4-4BAC-9E3E-BBBDC06741FE}"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tx>
                <c:rich>
                  <a:bodyPr/>
                  <a:lstStyle/>
                  <a:p>
                    <a:fld id="{B232FA9C-E990-4062-A5F6-6478B5F1A54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BE3D14A-BBC3-4E9B-AADE-B9E2FDEC8F6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23.33%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B4-4BAC-9E3E-BBBDC06741FE}"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B4-4BAC-9E3E-BBBDC06741FE}"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B4-4BAC-9E3E-BBBDC06741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Classification'!$B$54:$B$58,'Exp by Classification'!$D$54:$D$58)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$115,123,059 </c:v>
                </c:pt>
                <c:pt idx="6">
                  <c:v> $26,574,971 </c:v>
                </c:pt>
                <c:pt idx="7">
                  <c:v> $44,815,629 </c:v>
                </c:pt>
                <c:pt idx="8">
                  <c:v> $2,535,102 </c:v>
                </c:pt>
                <c:pt idx="9">
                  <c:v> $3,103,040 </c:v>
                </c:pt>
              </c:strCache>
            </c:strRef>
          </c:cat>
          <c:val>
            <c:numRef>
              <c:f>'Exp by Classification'!$D$54:$D$58</c:f>
              <c:numCache>
                <c:formatCode>_("$"* #,##0_);_("$"* \(#,##0\);_("$"* "-"_);_(@_)</c:formatCode>
                <c:ptCount val="5"/>
                <c:pt idx="0">
                  <c:v>115123059</c:v>
                </c:pt>
                <c:pt idx="1">
                  <c:v>26574971</c:v>
                </c:pt>
                <c:pt idx="2">
                  <c:v>44815629</c:v>
                </c:pt>
                <c:pt idx="3">
                  <c:v>2535102</c:v>
                </c:pt>
                <c:pt idx="4">
                  <c:v>3103040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B4-4BAC-9E3E-BBBDC067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3C-4DDC-B23F-200F50749C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3C-4DDC-B23F-200F50749C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3C-4DDC-B23F-200F50749C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3C-4DDC-B23F-200F50749C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3C-4DDC-B23F-200F50749C8D}"/>
              </c:ext>
            </c:extLst>
          </c:dPt>
          <c:dLbls>
            <c:dLbl>
              <c:idx val="0"/>
              <c:layout>
                <c:manualLayout>
                  <c:x val="3.2491440858953939E-3"/>
                  <c:y val="0.206747615680753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3338D1-6857-417B-B56E-73B163269D1A}" type="CATEGORYNAME">
                      <a:rPr lang="en-US" sz="1400"/>
                      <a:pPr>
                        <a:defRPr sz="1400"/>
                      </a:pPr>
                      <a:t>[CATEGORY NAME]</a:t>
                    </a:fld>
                    <a:fld id="{57BA3502-2510-4A2B-B883-E762213EA986}" type="VALUE">
                      <a:rPr lang="en-US" sz="1400"/>
                      <a:pPr>
                        <a:defRPr sz="1400"/>
                      </a:pPr>
                      <a:t>[VALUE]</a:t>
                    </a:fld>
                    <a:endParaRPr lang="en-US" sz="1400"/>
                  </a:p>
                  <a:p>
                    <a:pPr>
                      <a:defRPr sz="1400"/>
                    </a:pPr>
                    <a:r>
                      <a:rPr lang="en-US" sz="1400"/>
                      <a:t>60.22%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3C-4DDC-B23F-200F50749C8D}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3C-4DDC-B23F-200F50749C8D}"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3C-4DDC-B23F-200F50749C8D}"/>
                </c:ext>
              </c:extLst>
            </c:dLbl>
            <c:dLbl>
              <c:idx val="3"/>
              <c:layout>
                <c:manualLayout>
                  <c:x val="-4.1504437611929436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3C-4DDC-B23F-200F50749C8D}"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tx>
                <c:rich>
                  <a:bodyPr/>
                  <a:lstStyle/>
                  <a:p>
                    <a:fld id="{7F41A028-DFB1-4294-9BEF-B21118B47F5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E4AE6FC-7CC3-4EBC-9FCF-0DC77F74E8C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1.79%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13C-4DDC-B23F-200F50749C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'Comparison-Classfication'!$F$57:$F$61</c:f>
              <c:numCache>
                <c:formatCode>_("$"* #,##0_);_("$"* \(#,##0\);_("$"* "-"_);_(@_)</c:formatCode>
                <c:ptCount val="5"/>
                <c:pt idx="0">
                  <c:v>110861613</c:v>
                </c:pt>
                <c:pt idx="1">
                  <c:v>25982461</c:v>
                </c:pt>
                <c:pt idx="2">
                  <c:v>41612382</c:v>
                </c:pt>
                <c:pt idx="3">
                  <c:v>2355768</c:v>
                </c:pt>
                <c:pt idx="4">
                  <c:v>3283868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3C-4DDC-B23F-200F50749C8D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13C-4DDC-B23F-200F50749C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13C-4DDC-B23F-200F50749C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13C-4DDC-B23F-200F50749C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13C-4DDC-B23F-200F50749C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13C-4DDC-B23F-200F50749C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'Comparison-Classfication'!$H$57:$H$61</c:f>
              <c:numCache>
                <c:formatCode>0.00%</c:formatCode>
                <c:ptCount val="5"/>
                <c:pt idx="0">
                  <c:v>0.60219427688883265</c:v>
                </c:pt>
                <c:pt idx="1">
                  <c:v>0.14113532078671176</c:v>
                </c:pt>
                <c:pt idx="2">
                  <c:v>0.22603620504882851</c:v>
                </c:pt>
                <c:pt idx="3">
                  <c:v>1.2796404173533461E-2</c:v>
                </c:pt>
                <c:pt idx="4">
                  <c:v>1.793779310209366E-2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13C-4DDC-B23F-200F50749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28575</xdr:rowOff>
    </xdr:from>
    <xdr:to>
      <xdr:col>7</xdr:col>
      <xdr:colOff>0</xdr:colOff>
      <xdr:row>33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19</xdr:row>
      <xdr:rowOff>28574</xdr:rowOff>
    </xdr:from>
    <xdr:to>
      <xdr:col>5</xdr:col>
      <xdr:colOff>1752600</xdr:colOff>
      <xdr:row>43</xdr:row>
      <xdr:rowOff>171449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243751-D3E3-4BAD-A201-2F040EBD3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10</xdr:row>
      <xdr:rowOff>11905</xdr:rowOff>
    </xdr:from>
    <xdr:to>
      <xdr:col>4</xdr:col>
      <xdr:colOff>1774031</xdr:colOff>
      <xdr:row>30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12CF7-9B82-40EF-A554-BAE502B5C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32</xdr:row>
      <xdr:rowOff>202407</xdr:rowOff>
    </xdr:from>
    <xdr:to>
      <xdr:col>9</xdr:col>
      <xdr:colOff>1702594</xdr:colOff>
      <xdr:row>51</xdr:row>
      <xdr:rowOff>11907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394CE8-9306-41C6-AF13-B731E1918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1187147</xdr:colOff>
      <xdr:row>20</xdr:row>
      <xdr:rowOff>53975</xdr:rowOff>
    </xdr:from>
    <xdr:to>
      <xdr:col>6</xdr:col>
      <xdr:colOff>580722</xdr:colOff>
      <xdr:row>43</xdr:row>
      <xdr:rowOff>159806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05ED71-5C86-4E8C-A518-992F3B37B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6CAC87-EDF1-4C0F-ABBD-5C00546B2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E4F2C5-4D49-47C1-BBAB-927B6BEAF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20</xdr:row>
      <xdr:rowOff>127000</xdr:rowOff>
    </xdr:from>
    <xdr:to>
      <xdr:col>6</xdr:col>
      <xdr:colOff>1269999</xdr:colOff>
      <xdr:row>42</xdr:row>
      <xdr:rowOff>211667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3057F-6312-4511-829D-890FB4531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F8035-CD13-41B6-A38B-34D40E1BF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43628A-FE31-4505-B61F-4AB769E87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1571624</xdr:colOff>
      <xdr:row>28</xdr:row>
      <xdr:rowOff>31750</xdr:rowOff>
    </xdr:from>
    <xdr:to>
      <xdr:col>5</xdr:col>
      <xdr:colOff>349249</xdr:colOff>
      <xdr:row>57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Revenue%20Model\Rev&amp;Exp.Model%2001.17.07%20OIRE'S%20Enrollment%20Statistics%20%23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STC Official Color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046937"/>
      </a:accent1>
      <a:accent2>
        <a:srgbClr val="79993D"/>
      </a:accent2>
      <a:accent3>
        <a:srgbClr val="61B4E4"/>
      </a:accent3>
      <a:accent4>
        <a:srgbClr val="49C0AF"/>
      </a:accent4>
      <a:accent5>
        <a:srgbClr val="552D81"/>
      </a:accent5>
      <a:accent6>
        <a:srgbClr val="ED7623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18"/>
  <sheetViews>
    <sheetView showOutlineSymbols="0" view="pageBreakPreview" zoomScale="60" zoomScaleNormal="87" workbookViewId="0">
      <selection activeCell="Q14" sqref="Q14:Q43"/>
    </sheetView>
  </sheetViews>
  <sheetFormatPr defaultColWidth="9.6640625" defaultRowHeight="15"/>
  <cols>
    <col min="1" max="1" width="14.33203125" style="95" customWidth="1"/>
    <col min="2" max="2" width="10.6640625" style="95" customWidth="1"/>
    <col min="3" max="3" width="9.88671875" style="95" customWidth="1"/>
    <col min="4" max="4" width="10.21875" style="95" customWidth="1"/>
    <col min="5" max="5" width="7" style="95" customWidth="1"/>
    <col min="6" max="6" width="11.44140625" style="95" customWidth="1"/>
    <col min="7" max="7" width="10" style="95" customWidth="1"/>
    <col min="8" max="8" width="9.6640625" style="95" customWidth="1"/>
    <col min="9" max="9" width="10.33203125" style="95" customWidth="1"/>
    <col min="10" max="10" width="7.109375" style="95" customWidth="1"/>
    <col min="11" max="11" width="2.33203125" style="95" customWidth="1"/>
    <col min="12" max="12" width="5" style="95" customWidth="1"/>
    <col min="13" max="13" width="8.44140625" style="95" customWidth="1"/>
    <col min="14" max="14" width="16.21875" style="95" customWidth="1"/>
    <col min="15" max="15" width="15.44140625" style="95" customWidth="1"/>
    <col min="16" max="16" width="6.6640625" style="95" customWidth="1"/>
    <col min="17" max="17" width="11.77734375" style="95" customWidth="1"/>
    <col min="18" max="18" width="15.44140625" style="95" customWidth="1"/>
    <col min="19" max="19" width="14.33203125" style="95" customWidth="1"/>
    <col min="20" max="16384" width="9.6640625" style="95"/>
  </cols>
  <sheetData>
    <row r="1" spans="1:29" ht="23.25">
      <c r="A1" s="9" t="s">
        <v>65</v>
      </c>
      <c r="B1" s="94"/>
      <c r="C1" s="94"/>
      <c r="D1" s="94"/>
      <c r="E1" s="94"/>
      <c r="F1" s="94"/>
      <c r="G1" s="10"/>
      <c r="H1" s="10"/>
      <c r="I1" s="94"/>
      <c r="J1" s="94"/>
      <c r="K1" s="94"/>
      <c r="L1" s="94"/>
      <c r="M1" s="94"/>
      <c r="N1" s="94"/>
      <c r="O1" s="94"/>
      <c r="AA1" s="9" t="s">
        <v>0</v>
      </c>
    </row>
    <row r="2" spans="1:29" ht="23.25">
      <c r="A2" s="11" t="s">
        <v>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Q2" s="90" t="s">
        <v>93</v>
      </c>
      <c r="AA2" s="11" t="s">
        <v>18</v>
      </c>
    </row>
    <row r="3" spans="1:29" ht="18">
      <c r="A3" s="11" t="s">
        <v>94</v>
      </c>
      <c r="B3" s="94"/>
      <c r="C3" s="94"/>
      <c r="D3" s="94"/>
      <c r="E3" s="94"/>
      <c r="F3" s="94"/>
      <c r="G3" s="96"/>
      <c r="H3" s="96"/>
      <c r="I3" s="94"/>
      <c r="J3" s="94"/>
      <c r="K3" s="94"/>
      <c r="L3" s="94"/>
      <c r="M3" s="94"/>
      <c r="N3" s="94"/>
      <c r="O3" s="94"/>
      <c r="AA3" s="11" t="s">
        <v>19</v>
      </c>
    </row>
    <row r="4" spans="1:29" ht="18.75">
      <c r="A4" s="12" t="s">
        <v>95</v>
      </c>
      <c r="B4" s="94"/>
      <c r="C4" s="94"/>
      <c r="D4" s="94"/>
      <c r="E4" s="94"/>
      <c r="F4" s="94"/>
      <c r="G4" s="13"/>
      <c r="H4" s="96"/>
      <c r="I4" s="94"/>
      <c r="J4" s="94"/>
      <c r="K4" s="94"/>
      <c r="L4" s="94"/>
      <c r="M4" s="94"/>
      <c r="N4" s="94"/>
      <c r="O4" s="94"/>
      <c r="Z4" s="12" t="s">
        <v>20</v>
      </c>
    </row>
    <row r="5" spans="1:29" ht="18.75">
      <c r="A5" s="88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Z5" s="12"/>
    </row>
    <row r="6" spans="1:29" ht="15.75">
      <c r="A6" s="1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5" t="s">
        <v>21</v>
      </c>
      <c r="O6" s="94"/>
      <c r="P6" s="94"/>
      <c r="Q6" s="94"/>
      <c r="R6" s="94"/>
      <c r="S6" s="94"/>
    </row>
    <row r="7" spans="1:29">
      <c r="A7" s="15" t="s">
        <v>22</v>
      </c>
      <c r="B7" s="16"/>
      <c r="C7" s="16"/>
      <c r="D7" s="16"/>
      <c r="E7" s="16"/>
      <c r="F7" s="16"/>
      <c r="G7" s="16"/>
      <c r="H7" s="16"/>
      <c r="I7" s="16"/>
      <c r="N7" s="17" t="s">
        <v>23</v>
      </c>
      <c r="O7" s="94"/>
      <c r="P7" s="94"/>
      <c r="Q7" s="94"/>
      <c r="R7" s="94"/>
    </row>
    <row r="8" spans="1:29" ht="15.75">
      <c r="A8" s="3"/>
      <c r="B8" s="3"/>
      <c r="C8" s="3"/>
      <c r="D8" s="3"/>
      <c r="E8" s="3"/>
      <c r="F8" s="3"/>
      <c r="G8" s="3"/>
      <c r="H8" s="3"/>
      <c r="I8" s="3"/>
      <c r="K8" s="18"/>
      <c r="M8" s="3"/>
      <c r="N8" s="97"/>
      <c r="O8" s="97"/>
      <c r="P8" s="3"/>
      <c r="Q8" s="3"/>
      <c r="R8" s="3"/>
    </row>
    <row r="9" spans="1:29" ht="15.75">
      <c r="A9" s="95" t="s">
        <v>3</v>
      </c>
      <c r="B9" s="98" t="s">
        <v>96</v>
      </c>
      <c r="J9" s="19"/>
      <c r="K9" s="18"/>
      <c r="L9" s="19"/>
      <c r="M9" s="2"/>
      <c r="N9" s="99"/>
      <c r="O9" s="20" t="s">
        <v>25</v>
      </c>
      <c r="P9" s="4"/>
      <c r="Q9" s="20" t="s">
        <v>26</v>
      </c>
      <c r="R9" s="21" t="s">
        <v>25</v>
      </c>
      <c r="S9" s="22"/>
      <c r="Z9" s="5" t="s">
        <v>27</v>
      </c>
    </row>
    <row r="10" spans="1:29" ht="15.75">
      <c r="A10" s="20" t="s">
        <v>28</v>
      </c>
      <c r="B10" s="23" t="s">
        <v>28</v>
      </c>
      <c r="C10" s="24" t="s">
        <v>4</v>
      </c>
      <c r="D10" s="20" t="s">
        <v>29</v>
      </c>
      <c r="E10" s="100"/>
      <c r="F10" s="23" t="s">
        <v>30</v>
      </c>
      <c r="G10" s="24" t="s">
        <v>4</v>
      </c>
      <c r="H10" s="20" t="s">
        <v>5</v>
      </c>
      <c r="I10" s="20" t="s">
        <v>4</v>
      </c>
      <c r="J10" s="25"/>
      <c r="K10" s="18"/>
      <c r="L10" s="19"/>
      <c r="M10" s="26" t="s">
        <v>62</v>
      </c>
      <c r="N10" s="89" t="s">
        <v>24</v>
      </c>
      <c r="O10" s="27" t="s">
        <v>7</v>
      </c>
      <c r="P10" s="4"/>
      <c r="Q10" s="26" t="s">
        <v>31</v>
      </c>
      <c r="R10" s="28" t="s">
        <v>32</v>
      </c>
      <c r="S10" s="22"/>
    </row>
    <row r="11" spans="1:29" ht="15.75">
      <c r="A11" s="26" t="s">
        <v>33</v>
      </c>
      <c r="B11" s="29" t="s">
        <v>34</v>
      </c>
      <c r="C11" s="30" t="s">
        <v>35</v>
      </c>
      <c r="D11" s="31" t="s">
        <v>36</v>
      </c>
      <c r="E11" s="100"/>
      <c r="F11" s="29" t="s">
        <v>37</v>
      </c>
      <c r="G11" s="30" t="s">
        <v>35</v>
      </c>
      <c r="H11" s="26" t="s">
        <v>37</v>
      </c>
      <c r="I11" s="31" t="s">
        <v>35</v>
      </c>
      <c r="J11" s="25"/>
      <c r="K11" s="18"/>
      <c r="L11" s="19"/>
      <c r="M11" s="26" t="s">
        <v>33</v>
      </c>
      <c r="N11" s="26" t="s">
        <v>31</v>
      </c>
      <c r="O11" s="26" t="s">
        <v>38</v>
      </c>
      <c r="P11" s="4"/>
      <c r="Q11" s="26" t="s">
        <v>39</v>
      </c>
      <c r="R11" s="32" t="s">
        <v>38</v>
      </c>
      <c r="S11" s="22"/>
      <c r="AA11" s="95" t="s">
        <v>7</v>
      </c>
      <c r="AB11" s="6">
        <v>791665.56</v>
      </c>
    </row>
    <row r="12" spans="1:29" ht="15.75">
      <c r="A12" s="26" t="s">
        <v>40</v>
      </c>
      <c r="B12" s="29" t="s">
        <v>41</v>
      </c>
      <c r="C12" s="30" t="s">
        <v>42</v>
      </c>
      <c r="D12" s="33">
        <f>23259*0.32503547014</f>
        <v>7559.9999999862603</v>
      </c>
      <c r="E12" s="100"/>
      <c r="F12" s="29" t="s">
        <v>40</v>
      </c>
      <c r="G12" s="30" t="s">
        <v>42</v>
      </c>
      <c r="H12" s="26" t="s">
        <v>40</v>
      </c>
      <c r="I12" s="31" t="s">
        <v>42</v>
      </c>
      <c r="J12" s="25"/>
      <c r="K12" s="18"/>
      <c r="L12" s="19"/>
      <c r="M12" s="26" t="s">
        <v>40</v>
      </c>
      <c r="N12" s="26" t="s">
        <v>63</v>
      </c>
      <c r="O12" s="26" t="s">
        <v>44</v>
      </c>
      <c r="P12" s="4"/>
      <c r="Q12" s="26" t="s">
        <v>43</v>
      </c>
      <c r="R12" s="32" t="s">
        <v>44</v>
      </c>
      <c r="S12" s="22"/>
      <c r="AB12" s="6"/>
    </row>
    <row r="13" spans="1:29" ht="15.75">
      <c r="A13" s="101"/>
      <c r="B13" s="34"/>
      <c r="C13" s="35"/>
      <c r="D13" s="101"/>
      <c r="E13" s="100"/>
      <c r="F13" s="101"/>
      <c r="G13" s="102"/>
      <c r="H13" s="101"/>
      <c r="I13" s="101"/>
      <c r="J13" s="25"/>
      <c r="K13" s="18"/>
      <c r="L13" s="19"/>
      <c r="M13" s="101"/>
      <c r="N13" s="101"/>
      <c r="O13" s="101" t="s">
        <v>3</v>
      </c>
      <c r="P13" s="4"/>
      <c r="Q13" s="101"/>
      <c r="R13" s="103" t="s">
        <v>3</v>
      </c>
      <c r="S13" s="22"/>
      <c r="T13" s="19"/>
      <c r="AB13" s="95" t="s">
        <v>45</v>
      </c>
      <c r="AC13" s="6">
        <v>946545.75</v>
      </c>
    </row>
    <row r="14" spans="1:29">
      <c r="A14" s="100">
        <v>1</v>
      </c>
      <c r="B14" s="104">
        <v>18</v>
      </c>
      <c r="C14" s="105">
        <f>B14/$B$44</f>
        <v>1.1976047904191617E-3</v>
      </c>
      <c r="D14" s="106">
        <f>C14*7560</f>
        <v>9.0538922155688617</v>
      </c>
      <c r="E14" s="100"/>
      <c r="F14" s="104">
        <f t="shared" ref="F14:F43" si="0">A14*B14</f>
        <v>18</v>
      </c>
      <c r="G14" s="105">
        <f>F14/$F$44</f>
        <v>1.2210426347386631E-4</v>
      </c>
      <c r="H14" s="107">
        <f t="shared" ref="H14:H43" si="1">D14*A14</f>
        <v>9.0538922155688617</v>
      </c>
      <c r="I14" s="108">
        <f>H14/$H$44</f>
        <v>1.2210426347386628E-4</v>
      </c>
      <c r="J14" s="100" t="s">
        <v>3</v>
      </c>
      <c r="K14" s="109" t="s">
        <v>3</v>
      </c>
      <c r="L14" s="95">
        <f t="shared" ref="L14:L43" si="2">N14/M14</f>
        <v>127</v>
      </c>
      <c r="M14" s="100">
        <v>1</v>
      </c>
      <c r="N14" s="110">
        <v>127</v>
      </c>
      <c r="O14" s="111">
        <f>N14*D14</f>
        <v>1149.8443113772455</v>
      </c>
      <c r="P14" s="4"/>
      <c r="Q14" s="111">
        <v>90</v>
      </c>
      <c r="R14" s="112">
        <f t="shared" ref="R14:R43" si="3">Q14*D14</f>
        <v>814.8502994011975</v>
      </c>
      <c r="S14" s="113"/>
      <c r="AC14" s="6"/>
    </row>
    <row r="15" spans="1:29">
      <c r="A15" s="100">
        <v>2</v>
      </c>
      <c r="B15" s="104">
        <v>52</v>
      </c>
      <c r="C15" s="105">
        <f t="shared" ref="C15:C43" si="4">B15/$B$44</f>
        <v>3.4597471723220225E-3</v>
      </c>
      <c r="D15" s="106">
        <f t="shared" ref="D15:D43" si="5">C15*7560</f>
        <v>26.155688622754489</v>
      </c>
      <c r="E15" s="100"/>
      <c r="F15" s="104">
        <f t="shared" si="0"/>
        <v>104</v>
      </c>
      <c r="G15" s="105">
        <f t="shared" ref="G15:G43" si="6">F15/$F$44</f>
        <v>7.0549130007122745E-4</v>
      </c>
      <c r="H15" s="107">
        <f t="shared" si="1"/>
        <v>52.311377245508979</v>
      </c>
      <c r="I15" s="108">
        <f t="shared" ref="I15:I43" si="7">H15/$H$44</f>
        <v>7.0549130007122735E-4</v>
      </c>
      <c r="J15" s="4"/>
      <c r="K15" s="109"/>
      <c r="L15" s="95">
        <f t="shared" si="2"/>
        <v>102</v>
      </c>
      <c r="M15" s="100">
        <v>2</v>
      </c>
      <c r="N15" s="111">
        <v>204</v>
      </c>
      <c r="O15" s="111">
        <f t="shared" ref="O15:O43" si="8">N15*D15</f>
        <v>5335.7604790419155</v>
      </c>
      <c r="P15" s="4"/>
      <c r="Q15" s="111">
        <v>90</v>
      </c>
      <c r="R15" s="112">
        <f t="shared" si="3"/>
        <v>2354.0119760479042</v>
      </c>
      <c r="S15" s="36"/>
      <c r="AB15" s="95" t="s">
        <v>46</v>
      </c>
      <c r="AC15" s="114">
        <v>170942.2</v>
      </c>
    </row>
    <row r="16" spans="1:29">
      <c r="A16" s="100">
        <v>3</v>
      </c>
      <c r="B16" s="104">
        <v>956</v>
      </c>
      <c r="C16" s="105">
        <f t="shared" si="4"/>
        <v>6.3606121091151033E-2</v>
      </c>
      <c r="D16" s="106">
        <f t="shared" si="5"/>
        <v>480.86227544910179</v>
      </c>
      <c r="E16" s="100"/>
      <c r="F16" s="104">
        <f t="shared" si="0"/>
        <v>2868</v>
      </c>
      <c r="G16" s="105">
        <f t="shared" si="6"/>
        <v>1.9455279313502695E-2</v>
      </c>
      <c r="H16" s="107">
        <f t="shared" si="1"/>
        <v>1442.5868263473053</v>
      </c>
      <c r="I16" s="108">
        <f t="shared" si="7"/>
        <v>1.9455279313502695E-2</v>
      </c>
      <c r="J16" s="4"/>
      <c r="K16" s="109"/>
      <c r="L16" s="95">
        <f t="shared" si="2"/>
        <v>80</v>
      </c>
      <c r="M16" s="100">
        <v>3</v>
      </c>
      <c r="N16" s="111">
        <v>240</v>
      </c>
      <c r="O16" s="111">
        <f t="shared" si="8"/>
        <v>115406.94610778443</v>
      </c>
      <c r="P16" s="4"/>
      <c r="Q16" s="111">
        <v>90</v>
      </c>
      <c r="R16" s="112">
        <f t="shared" si="3"/>
        <v>43277.604790419158</v>
      </c>
      <c r="S16" s="36"/>
      <c r="AB16" s="3"/>
      <c r="AC16" s="37"/>
    </row>
    <row r="17" spans="1:29" ht="16.5" thickBot="1">
      <c r="A17" s="100">
        <v>4</v>
      </c>
      <c r="B17" s="104">
        <v>627</v>
      </c>
      <c r="C17" s="105">
        <f t="shared" si="4"/>
        <v>4.1716566866267464E-2</v>
      </c>
      <c r="D17" s="106">
        <f t="shared" si="5"/>
        <v>315.37724550898201</v>
      </c>
      <c r="E17" s="100"/>
      <c r="F17" s="104">
        <f t="shared" si="0"/>
        <v>2508</v>
      </c>
      <c r="G17" s="105">
        <f t="shared" si="6"/>
        <v>1.7013194044025369E-2</v>
      </c>
      <c r="H17" s="107">
        <f t="shared" si="1"/>
        <v>1261.5089820359281</v>
      </c>
      <c r="I17" s="108">
        <f t="shared" si="7"/>
        <v>1.7013194044025369E-2</v>
      </c>
      <c r="J17" s="4"/>
      <c r="K17" s="109"/>
      <c r="L17" s="95">
        <f t="shared" si="2"/>
        <v>70</v>
      </c>
      <c r="M17" s="100">
        <v>4</v>
      </c>
      <c r="N17" s="111">
        <v>280</v>
      </c>
      <c r="O17" s="111">
        <f t="shared" si="8"/>
        <v>88305.628742514964</v>
      </c>
      <c r="P17" s="4"/>
      <c r="Q17" s="111">
        <v>90</v>
      </c>
      <c r="R17" s="112">
        <f t="shared" si="3"/>
        <v>28383.952095808381</v>
      </c>
      <c r="S17" s="36"/>
      <c r="AB17" s="5" t="s">
        <v>47</v>
      </c>
      <c r="AC17" s="7">
        <f>AC15+AC13+AC11</f>
        <v>1117487.95</v>
      </c>
    </row>
    <row r="18" spans="1:29" ht="15.75" thickTop="1">
      <c r="A18" s="100">
        <v>5</v>
      </c>
      <c r="B18" s="104">
        <v>49</v>
      </c>
      <c r="C18" s="105">
        <f t="shared" si="4"/>
        <v>3.2601463739188289E-3</v>
      </c>
      <c r="D18" s="106">
        <f t="shared" si="5"/>
        <v>24.646706586826348</v>
      </c>
      <c r="E18" s="100"/>
      <c r="F18" s="104">
        <f t="shared" si="0"/>
        <v>245</v>
      </c>
      <c r="G18" s="105">
        <f t="shared" si="6"/>
        <v>1.6619746972831801E-3</v>
      </c>
      <c r="H18" s="107">
        <f t="shared" si="1"/>
        <v>123.23353293413174</v>
      </c>
      <c r="I18" s="108">
        <f t="shared" si="7"/>
        <v>1.6619746972831801E-3</v>
      </c>
      <c r="J18" s="4"/>
      <c r="K18" s="109"/>
      <c r="L18" s="95">
        <f t="shared" si="2"/>
        <v>70</v>
      </c>
      <c r="M18" s="100">
        <v>5</v>
      </c>
      <c r="N18" s="111">
        <v>350</v>
      </c>
      <c r="O18" s="111">
        <f t="shared" si="8"/>
        <v>8626.3473053892212</v>
      </c>
      <c r="P18" s="4"/>
      <c r="Q18" s="111">
        <v>90</v>
      </c>
      <c r="R18" s="112">
        <f t="shared" si="3"/>
        <v>2218.2035928143714</v>
      </c>
      <c r="S18" s="36"/>
      <c r="AB18" s="8"/>
      <c r="AC18" s="38"/>
    </row>
    <row r="19" spans="1:29">
      <c r="A19" s="100">
        <v>6</v>
      </c>
      <c r="B19" s="104">
        <v>1678</v>
      </c>
      <c r="C19" s="105">
        <f t="shared" si="4"/>
        <v>0.11164337990685295</v>
      </c>
      <c r="D19" s="106">
        <f t="shared" si="5"/>
        <v>844.02395209580834</v>
      </c>
      <c r="E19" s="100"/>
      <c r="F19" s="104">
        <f t="shared" si="0"/>
        <v>10068</v>
      </c>
      <c r="G19" s="105">
        <f t="shared" si="6"/>
        <v>6.8296984703049221E-2</v>
      </c>
      <c r="H19" s="107">
        <f t="shared" si="1"/>
        <v>5064.1437125748498</v>
      </c>
      <c r="I19" s="108">
        <f t="shared" si="7"/>
        <v>6.8296984703049207E-2</v>
      </c>
      <c r="J19" s="4"/>
      <c r="K19" s="109"/>
      <c r="L19" s="95">
        <f t="shared" si="2"/>
        <v>65</v>
      </c>
      <c r="M19" s="100">
        <v>6</v>
      </c>
      <c r="N19" s="111">
        <v>390</v>
      </c>
      <c r="O19" s="111">
        <f t="shared" si="8"/>
        <v>329169.34131736524</v>
      </c>
      <c r="P19" s="4"/>
      <c r="Q19" s="111">
        <v>90</v>
      </c>
      <c r="R19" s="112">
        <f t="shared" si="3"/>
        <v>75962.155688622748</v>
      </c>
      <c r="S19" s="36"/>
      <c r="AC19" s="6"/>
    </row>
    <row r="20" spans="1:29">
      <c r="A20" s="100">
        <v>7</v>
      </c>
      <c r="B20" s="104">
        <v>974</v>
      </c>
      <c r="C20" s="105">
        <f t="shared" si="4"/>
        <v>6.4803725881570198E-2</v>
      </c>
      <c r="D20" s="106">
        <f t="shared" si="5"/>
        <v>489.9161676646707</v>
      </c>
      <c r="E20" s="100"/>
      <c r="F20" s="104">
        <f t="shared" si="0"/>
        <v>6818</v>
      </c>
      <c r="G20" s="105">
        <f t="shared" si="6"/>
        <v>4.6250381575823354E-2</v>
      </c>
      <c r="H20" s="107">
        <f t="shared" si="1"/>
        <v>3429.4131736526947</v>
      </c>
      <c r="I20" s="108">
        <f t="shared" si="7"/>
        <v>4.6250381575823354E-2</v>
      </c>
      <c r="J20" s="4"/>
      <c r="K20" s="109"/>
      <c r="L20" s="95">
        <f t="shared" si="2"/>
        <v>65</v>
      </c>
      <c r="M20" s="100">
        <v>7</v>
      </c>
      <c r="N20" s="111">
        <v>455</v>
      </c>
      <c r="O20" s="111">
        <f t="shared" si="8"/>
        <v>222911.85628742518</v>
      </c>
      <c r="P20" s="4"/>
      <c r="Q20" s="111">
        <v>90</v>
      </c>
      <c r="R20" s="112">
        <f t="shared" si="3"/>
        <v>44092.45508982036</v>
      </c>
      <c r="S20" s="36"/>
      <c r="AA20" s="95" t="s">
        <v>48</v>
      </c>
      <c r="AC20" s="6"/>
    </row>
    <row r="21" spans="1:29">
      <c r="A21" s="100">
        <v>8</v>
      </c>
      <c r="B21" s="104">
        <v>548</v>
      </c>
      <c r="C21" s="105">
        <f t="shared" si="4"/>
        <v>3.6460412508316699E-2</v>
      </c>
      <c r="D21" s="106">
        <f t="shared" si="5"/>
        <v>275.64071856287427</v>
      </c>
      <c r="E21" s="100"/>
      <c r="F21" s="104">
        <f t="shared" si="0"/>
        <v>4384</v>
      </c>
      <c r="G21" s="105">
        <f t="shared" si="6"/>
        <v>2.9739171726079434E-2</v>
      </c>
      <c r="H21" s="107">
        <f t="shared" si="1"/>
        <v>2205.1257485029942</v>
      </c>
      <c r="I21" s="108">
        <f t="shared" si="7"/>
        <v>2.9739171726079434E-2</v>
      </c>
      <c r="J21" s="4"/>
      <c r="K21" s="109"/>
      <c r="L21" s="95">
        <f t="shared" si="2"/>
        <v>65</v>
      </c>
      <c r="M21" s="100">
        <v>8</v>
      </c>
      <c r="N21" s="111">
        <v>520</v>
      </c>
      <c r="O21" s="111">
        <f t="shared" si="8"/>
        <v>143333.17365269462</v>
      </c>
      <c r="P21" s="4"/>
      <c r="Q21" s="111">
        <v>90</v>
      </c>
      <c r="R21" s="112">
        <f t="shared" si="3"/>
        <v>24807.664670658683</v>
      </c>
      <c r="S21" s="36"/>
      <c r="AA21" s="95" t="s">
        <v>49</v>
      </c>
      <c r="AC21" s="6"/>
    </row>
    <row r="22" spans="1:29">
      <c r="A22" s="100">
        <v>9</v>
      </c>
      <c r="B22" s="104">
        <v>1703</v>
      </c>
      <c r="C22" s="105">
        <f t="shared" si="4"/>
        <v>0.11330671989354624</v>
      </c>
      <c r="D22" s="106">
        <f t="shared" si="5"/>
        <v>856.59880239520953</v>
      </c>
      <c r="E22" s="100"/>
      <c r="F22" s="104">
        <f t="shared" si="0"/>
        <v>15327</v>
      </c>
      <c r="G22" s="105">
        <f t="shared" si="6"/>
        <v>0.10397178034799714</v>
      </c>
      <c r="H22" s="107">
        <f t="shared" si="1"/>
        <v>7709.3892215568858</v>
      </c>
      <c r="I22" s="108">
        <f t="shared" si="7"/>
        <v>0.10397178034799713</v>
      </c>
      <c r="J22" s="4"/>
      <c r="K22" s="109"/>
      <c r="L22" s="95">
        <f t="shared" si="2"/>
        <v>60</v>
      </c>
      <c r="M22" s="100">
        <v>9</v>
      </c>
      <c r="N22" s="111">
        <v>540</v>
      </c>
      <c r="O22" s="111">
        <f t="shared" si="8"/>
        <v>462563.35329341312</v>
      </c>
      <c r="P22" s="4"/>
      <c r="Q22" s="111">
        <v>90</v>
      </c>
      <c r="R22" s="112">
        <f t="shared" si="3"/>
        <v>77093.892215568863</v>
      </c>
      <c r="S22" s="36"/>
      <c r="AC22" s="6"/>
    </row>
    <row r="23" spans="1:29">
      <c r="A23" s="100">
        <v>10</v>
      </c>
      <c r="B23" s="104">
        <v>1106</v>
      </c>
      <c r="C23" s="105">
        <f t="shared" si="4"/>
        <v>7.3586161011310713E-2</v>
      </c>
      <c r="D23" s="106">
        <f t="shared" si="5"/>
        <v>556.31137724550899</v>
      </c>
      <c r="E23" s="100"/>
      <c r="F23" s="104">
        <f t="shared" si="0"/>
        <v>11060</v>
      </c>
      <c r="G23" s="105">
        <f t="shared" si="6"/>
        <v>7.5026286334497844E-2</v>
      </c>
      <c r="H23" s="107">
        <f t="shared" si="1"/>
        <v>5563.1137724550899</v>
      </c>
      <c r="I23" s="108">
        <f t="shared" si="7"/>
        <v>7.5026286334497844E-2</v>
      </c>
      <c r="J23" s="4"/>
      <c r="K23" s="109"/>
      <c r="L23" s="95">
        <f t="shared" si="2"/>
        <v>60</v>
      </c>
      <c r="M23" s="100">
        <v>10</v>
      </c>
      <c r="N23" s="111">
        <v>600</v>
      </c>
      <c r="O23" s="111">
        <f t="shared" si="8"/>
        <v>333786.82634730538</v>
      </c>
      <c r="P23" s="4"/>
      <c r="Q23" s="111">
        <v>90</v>
      </c>
      <c r="R23" s="112">
        <f t="shared" si="3"/>
        <v>50068.023952095813</v>
      </c>
      <c r="S23" s="36"/>
      <c r="AC23" s="6"/>
    </row>
    <row r="24" spans="1:29">
      <c r="A24" s="100">
        <v>11</v>
      </c>
      <c r="B24" s="104">
        <v>454</v>
      </c>
      <c r="C24" s="105">
        <f t="shared" si="4"/>
        <v>3.0206254158349967E-2</v>
      </c>
      <c r="D24" s="106">
        <f t="shared" si="5"/>
        <v>228.35928143712576</v>
      </c>
      <c r="E24" s="100"/>
      <c r="F24" s="104">
        <f t="shared" si="0"/>
        <v>4994</v>
      </c>
      <c r="G24" s="105">
        <f t="shared" si="6"/>
        <v>3.3877149543804906E-2</v>
      </c>
      <c r="H24" s="107">
        <f t="shared" si="1"/>
        <v>2511.9520958083835</v>
      </c>
      <c r="I24" s="108">
        <f t="shared" si="7"/>
        <v>3.3877149543804906E-2</v>
      </c>
      <c r="J24" s="4"/>
      <c r="K24" s="109"/>
      <c r="L24" s="95">
        <f t="shared" si="2"/>
        <v>60</v>
      </c>
      <c r="M24" s="100">
        <v>11</v>
      </c>
      <c r="N24" s="111">
        <v>660</v>
      </c>
      <c r="O24" s="111">
        <f t="shared" si="8"/>
        <v>150717.12574850299</v>
      </c>
      <c r="P24" s="4"/>
      <c r="Q24" s="111">
        <v>90</v>
      </c>
      <c r="R24" s="112">
        <f t="shared" si="3"/>
        <v>20552.335329341317</v>
      </c>
      <c r="S24" s="36"/>
      <c r="AC24" s="6"/>
    </row>
    <row r="25" spans="1:29">
      <c r="A25" s="100">
        <v>12</v>
      </c>
      <c r="B25" s="104">
        <v>3456</v>
      </c>
      <c r="C25" s="105">
        <f t="shared" si="4"/>
        <v>0.22994011976047904</v>
      </c>
      <c r="D25" s="106">
        <f t="shared" si="5"/>
        <v>1738.3473053892214</v>
      </c>
      <c r="E25" s="100"/>
      <c r="F25" s="104">
        <f t="shared" si="0"/>
        <v>41472</v>
      </c>
      <c r="G25" s="105">
        <f t="shared" si="6"/>
        <v>0.28132822304378796</v>
      </c>
      <c r="H25" s="107">
        <f t="shared" si="1"/>
        <v>20860.167664670658</v>
      </c>
      <c r="I25" s="108">
        <f t="shared" si="7"/>
        <v>0.28132822304378791</v>
      </c>
      <c r="J25" s="4"/>
      <c r="K25" s="109"/>
      <c r="L25" s="95">
        <f t="shared" si="2"/>
        <v>59</v>
      </c>
      <c r="M25" s="100">
        <v>12</v>
      </c>
      <c r="N25" s="111">
        <v>708</v>
      </c>
      <c r="O25" s="111">
        <f t="shared" si="8"/>
        <v>1230749.8922155688</v>
      </c>
      <c r="P25" s="4"/>
      <c r="Q25" s="111">
        <v>90</v>
      </c>
      <c r="R25" s="112">
        <f t="shared" si="3"/>
        <v>156451.25748502993</v>
      </c>
      <c r="S25" s="36"/>
      <c r="AC25" s="6"/>
    </row>
    <row r="26" spans="1:29">
      <c r="A26" s="100">
        <v>13</v>
      </c>
      <c r="B26" s="104">
        <v>1978</v>
      </c>
      <c r="C26" s="105">
        <f t="shared" si="4"/>
        <v>0.13160345974717233</v>
      </c>
      <c r="D26" s="106">
        <f t="shared" si="5"/>
        <v>994.92215568862287</v>
      </c>
      <c r="E26" s="100"/>
      <c r="F26" s="104">
        <f t="shared" si="0"/>
        <v>25714</v>
      </c>
      <c r="G26" s="105">
        <f t="shared" si="6"/>
        <v>0.174432723942611</v>
      </c>
      <c r="H26" s="107">
        <f t="shared" si="1"/>
        <v>12933.988023952097</v>
      </c>
      <c r="I26" s="108">
        <f t="shared" si="7"/>
        <v>0.174432723942611</v>
      </c>
      <c r="J26" s="4"/>
      <c r="K26" s="109"/>
      <c r="L26" s="95">
        <f t="shared" si="2"/>
        <v>59</v>
      </c>
      <c r="M26" s="100">
        <v>13</v>
      </c>
      <c r="N26" s="111">
        <v>767</v>
      </c>
      <c r="O26" s="111">
        <f t="shared" si="8"/>
        <v>763105.29341317376</v>
      </c>
      <c r="P26" s="4"/>
      <c r="Q26" s="111">
        <v>90</v>
      </c>
      <c r="R26" s="112">
        <f t="shared" si="3"/>
        <v>89542.994011976058</v>
      </c>
      <c r="S26" s="36"/>
      <c r="AC26" s="6"/>
    </row>
    <row r="27" spans="1:29">
      <c r="A27" s="100">
        <v>14</v>
      </c>
      <c r="B27" s="104">
        <v>543</v>
      </c>
      <c r="C27" s="105">
        <f t="shared" si="4"/>
        <v>3.6127744510978041E-2</v>
      </c>
      <c r="D27" s="106">
        <f t="shared" si="5"/>
        <v>273.12574850299399</v>
      </c>
      <c r="E27" s="100"/>
      <c r="F27" s="104">
        <f t="shared" si="0"/>
        <v>7602</v>
      </c>
      <c r="G27" s="105">
        <f t="shared" si="6"/>
        <v>5.1568700607129529E-2</v>
      </c>
      <c r="H27" s="107">
        <f t="shared" si="1"/>
        <v>3823.7604790419159</v>
      </c>
      <c r="I27" s="108">
        <f t="shared" si="7"/>
        <v>5.1568700607129522E-2</v>
      </c>
      <c r="J27" s="4"/>
      <c r="K27" s="109"/>
      <c r="L27" s="95">
        <f t="shared" si="2"/>
        <v>59</v>
      </c>
      <c r="M27" s="100">
        <v>14</v>
      </c>
      <c r="N27" s="111">
        <v>826</v>
      </c>
      <c r="O27" s="111">
        <f t="shared" si="8"/>
        <v>225601.86826347304</v>
      </c>
      <c r="P27" s="4"/>
      <c r="Q27" s="111">
        <v>90</v>
      </c>
      <c r="R27" s="112">
        <f t="shared" si="3"/>
        <v>24581.31736526946</v>
      </c>
      <c r="S27" s="36"/>
      <c r="AC27" s="6"/>
    </row>
    <row r="28" spans="1:29">
      <c r="A28" s="100">
        <v>15</v>
      </c>
      <c r="B28" s="104">
        <v>382</v>
      </c>
      <c r="C28" s="105">
        <f t="shared" si="4"/>
        <v>2.5415834996673319E-2</v>
      </c>
      <c r="D28" s="106">
        <f t="shared" si="5"/>
        <v>192.1437125748503</v>
      </c>
      <c r="E28" s="100"/>
      <c r="F28" s="104">
        <f t="shared" si="0"/>
        <v>5730</v>
      </c>
      <c r="G28" s="105">
        <f t="shared" si="6"/>
        <v>3.8869857205847437E-2</v>
      </c>
      <c r="H28" s="107">
        <f t="shared" si="1"/>
        <v>2882.1556886227545</v>
      </c>
      <c r="I28" s="108">
        <f t="shared" si="7"/>
        <v>3.8869857205847437E-2</v>
      </c>
      <c r="J28" s="4"/>
      <c r="K28" s="109"/>
      <c r="L28" s="95">
        <f t="shared" si="2"/>
        <v>59</v>
      </c>
      <c r="M28" s="100">
        <v>15</v>
      </c>
      <c r="N28" s="111">
        <v>885</v>
      </c>
      <c r="O28" s="111">
        <f t="shared" si="8"/>
        <v>170047.1856287425</v>
      </c>
      <c r="P28" s="4"/>
      <c r="Q28" s="111">
        <v>90</v>
      </c>
      <c r="R28" s="112">
        <f t="shared" si="3"/>
        <v>17292.934131736525</v>
      </c>
      <c r="S28" s="36"/>
      <c r="AC28" s="6"/>
    </row>
    <row r="29" spans="1:29">
      <c r="A29" s="100">
        <v>16</v>
      </c>
      <c r="B29" s="104">
        <v>295</v>
      </c>
      <c r="C29" s="105">
        <f t="shared" si="4"/>
        <v>1.9627411842980707E-2</v>
      </c>
      <c r="D29" s="106">
        <f t="shared" si="5"/>
        <v>148.38323353293416</v>
      </c>
      <c r="E29" s="100"/>
      <c r="F29" s="104">
        <f t="shared" si="0"/>
        <v>4720</v>
      </c>
      <c r="G29" s="105">
        <f t="shared" si="6"/>
        <v>3.2018451310924942E-2</v>
      </c>
      <c r="H29" s="107">
        <f t="shared" si="1"/>
        <v>2374.1317365269465</v>
      </c>
      <c r="I29" s="108">
        <f t="shared" si="7"/>
        <v>3.2018451310924942E-2</v>
      </c>
      <c r="J29" s="4"/>
      <c r="K29" s="109"/>
      <c r="L29" s="95">
        <f t="shared" si="2"/>
        <v>59</v>
      </c>
      <c r="M29" s="100">
        <v>16</v>
      </c>
      <c r="N29" s="111">
        <v>944</v>
      </c>
      <c r="O29" s="111">
        <f t="shared" si="8"/>
        <v>140073.77245508984</v>
      </c>
      <c r="P29" s="4"/>
      <c r="Q29" s="111">
        <v>90</v>
      </c>
      <c r="R29" s="112">
        <f t="shared" si="3"/>
        <v>13354.491017964074</v>
      </c>
      <c r="S29" s="36"/>
      <c r="AC29" s="6"/>
    </row>
    <row r="30" spans="1:29">
      <c r="A30" s="100">
        <v>17</v>
      </c>
      <c r="B30" s="104">
        <v>107</v>
      </c>
      <c r="C30" s="105">
        <f t="shared" si="4"/>
        <v>7.1190951430472387E-3</v>
      </c>
      <c r="D30" s="106">
        <f t="shared" si="5"/>
        <v>53.820359281437128</v>
      </c>
      <c r="E30" s="100"/>
      <c r="F30" s="104">
        <f t="shared" si="0"/>
        <v>1819</v>
      </c>
      <c r="G30" s="105">
        <f t="shared" si="6"/>
        <v>1.2339314181053489E-2</v>
      </c>
      <c r="H30" s="107">
        <f t="shared" si="1"/>
        <v>914.94610778443121</v>
      </c>
      <c r="I30" s="108">
        <f t="shared" si="7"/>
        <v>1.2339314181053489E-2</v>
      </c>
      <c r="J30" s="4"/>
      <c r="K30" s="109"/>
      <c r="L30" s="95">
        <f t="shared" si="2"/>
        <v>59</v>
      </c>
      <c r="M30" s="100">
        <v>17</v>
      </c>
      <c r="N30" s="111">
        <v>1003</v>
      </c>
      <c r="O30" s="111">
        <f t="shared" si="8"/>
        <v>53981.820359281439</v>
      </c>
      <c r="P30" s="4"/>
      <c r="Q30" s="111">
        <v>90</v>
      </c>
      <c r="R30" s="112">
        <f t="shared" si="3"/>
        <v>4843.8323353293417</v>
      </c>
      <c r="S30" s="36"/>
      <c r="AC30" s="6"/>
    </row>
    <row r="31" spans="1:29">
      <c r="A31" s="100">
        <v>18</v>
      </c>
      <c r="B31" s="104">
        <v>66</v>
      </c>
      <c r="C31" s="105">
        <f t="shared" si="4"/>
        <v>4.3912175648702593E-3</v>
      </c>
      <c r="D31" s="106">
        <f t="shared" si="5"/>
        <v>33.197604790419163</v>
      </c>
      <c r="E31" s="100"/>
      <c r="F31" s="104">
        <f t="shared" si="0"/>
        <v>1188</v>
      </c>
      <c r="G31" s="105">
        <f t="shared" si="6"/>
        <v>8.058881389275175E-3</v>
      </c>
      <c r="H31" s="107">
        <f t="shared" si="1"/>
        <v>597.55688622754496</v>
      </c>
      <c r="I31" s="108">
        <f t="shared" si="7"/>
        <v>8.058881389275175E-3</v>
      </c>
      <c r="J31" s="4"/>
      <c r="K31" s="109"/>
      <c r="L31" s="95">
        <f t="shared" si="2"/>
        <v>59</v>
      </c>
      <c r="M31" s="100">
        <v>18</v>
      </c>
      <c r="N31" s="111">
        <v>1062</v>
      </c>
      <c r="O31" s="111">
        <f t="shared" si="8"/>
        <v>35255.856287425151</v>
      </c>
      <c r="P31" s="4"/>
      <c r="Q31" s="111">
        <v>90</v>
      </c>
      <c r="R31" s="112">
        <f t="shared" si="3"/>
        <v>2987.7844311377248</v>
      </c>
      <c r="S31" s="36"/>
      <c r="AC31" s="6"/>
    </row>
    <row r="32" spans="1:29">
      <c r="A32" s="100">
        <v>19</v>
      </c>
      <c r="B32" s="104">
        <v>15</v>
      </c>
      <c r="C32" s="105">
        <f t="shared" si="4"/>
        <v>9.9800399201596798E-4</v>
      </c>
      <c r="D32" s="106">
        <f t="shared" si="5"/>
        <v>7.5449101796407181</v>
      </c>
      <c r="E32" s="100"/>
      <c r="F32" s="104">
        <f t="shared" si="0"/>
        <v>285</v>
      </c>
      <c r="G32" s="105">
        <f t="shared" si="6"/>
        <v>1.933317505002883E-3</v>
      </c>
      <c r="H32" s="107">
        <f t="shared" si="1"/>
        <v>143.35329341317365</v>
      </c>
      <c r="I32" s="108">
        <f t="shared" si="7"/>
        <v>1.9333175050028828E-3</v>
      </c>
      <c r="J32" s="4"/>
      <c r="K32" s="109"/>
      <c r="L32" s="95">
        <f t="shared" si="2"/>
        <v>59</v>
      </c>
      <c r="M32" s="100">
        <v>19</v>
      </c>
      <c r="N32" s="111">
        <v>1121</v>
      </c>
      <c r="O32" s="111">
        <f t="shared" si="8"/>
        <v>8457.8443113772446</v>
      </c>
      <c r="P32" s="4"/>
      <c r="Q32" s="111">
        <v>90</v>
      </c>
      <c r="R32" s="112">
        <f t="shared" si="3"/>
        <v>679.04191616766468</v>
      </c>
      <c r="S32" s="36"/>
      <c r="AC32" s="6"/>
    </row>
    <row r="33" spans="1:29">
      <c r="A33" s="100">
        <v>20</v>
      </c>
      <c r="B33" s="104">
        <v>8</v>
      </c>
      <c r="C33" s="105">
        <f t="shared" si="4"/>
        <v>5.322687957418496E-4</v>
      </c>
      <c r="D33" s="106">
        <f t="shared" si="5"/>
        <v>4.023952095808383</v>
      </c>
      <c r="E33" s="100"/>
      <c r="F33" s="104">
        <f t="shared" si="0"/>
        <v>160</v>
      </c>
      <c r="G33" s="105">
        <f t="shared" si="6"/>
        <v>1.0853712308788114E-3</v>
      </c>
      <c r="H33" s="107">
        <f t="shared" si="1"/>
        <v>80.47904191616766</v>
      </c>
      <c r="I33" s="108">
        <f t="shared" si="7"/>
        <v>1.0853712308788114E-3</v>
      </c>
      <c r="J33" s="4"/>
      <c r="K33" s="109"/>
      <c r="L33" s="95">
        <f t="shared" si="2"/>
        <v>59</v>
      </c>
      <c r="M33" s="100">
        <v>20</v>
      </c>
      <c r="N33" s="111">
        <v>1180</v>
      </c>
      <c r="O33" s="111">
        <f t="shared" si="8"/>
        <v>4748.2634730538921</v>
      </c>
      <c r="P33" s="4"/>
      <c r="Q33" s="111">
        <v>90</v>
      </c>
      <c r="R33" s="112">
        <f t="shared" si="3"/>
        <v>362.1556886227545</v>
      </c>
      <c r="S33" s="36"/>
      <c r="AC33" s="6"/>
    </row>
    <row r="34" spans="1:29">
      <c r="A34" s="100">
        <v>21</v>
      </c>
      <c r="B34" s="104">
        <v>8</v>
      </c>
      <c r="C34" s="105">
        <f t="shared" si="4"/>
        <v>5.322687957418496E-4</v>
      </c>
      <c r="D34" s="106">
        <f t="shared" si="5"/>
        <v>4.023952095808383</v>
      </c>
      <c r="E34" s="100"/>
      <c r="F34" s="104">
        <f t="shared" si="0"/>
        <v>168</v>
      </c>
      <c r="G34" s="105">
        <f t="shared" si="6"/>
        <v>1.139639792422752E-3</v>
      </c>
      <c r="H34" s="107">
        <f t="shared" si="1"/>
        <v>84.502994011976043</v>
      </c>
      <c r="I34" s="108">
        <f t="shared" si="7"/>
        <v>1.139639792422752E-3</v>
      </c>
      <c r="J34" s="4"/>
      <c r="K34" s="109"/>
      <c r="L34" s="95">
        <f t="shared" si="2"/>
        <v>59</v>
      </c>
      <c r="M34" s="100">
        <v>21</v>
      </c>
      <c r="N34" s="111">
        <v>1239</v>
      </c>
      <c r="O34" s="111">
        <f t="shared" si="8"/>
        <v>4985.6766467065863</v>
      </c>
      <c r="P34" s="4"/>
      <c r="Q34" s="111">
        <v>90</v>
      </c>
      <c r="R34" s="112">
        <f t="shared" si="3"/>
        <v>362.1556886227545</v>
      </c>
      <c r="S34" s="36"/>
    </row>
    <row r="35" spans="1:29">
      <c r="A35" s="100">
        <v>22</v>
      </c>
      <c r="B35" s="104">
        <v>3</v>
      </c>
      <c r="C35" s="105">
        <f t="shared" si="4"/>
        <v>1.996007984031936E-4</v>
      </c>
      <c r="D35" s="106">
        <f t="shared" si="5"/>
        <v>1.5089820359281436</v>
      </c>
      <c r="E35" s="100"/>
      <c r="F35" s="104">
        <f t="shared" si="0"/>
        <v>66</v>
      </c>
      <c r="G35" s="105">
        <f t="shared" si="6"/>
        <v>4.4771563273750974E-4</v>
      </c>
      <c r="H35" s="107">
        <f t="shared" si="1"/>
        <v>33.197604790419163</v>
      </c>
      <c r="I35" s="108">
        <f t="shared" si="7"/>
        <v>4.4771563273750974E-4</v>
      </c>
      <c r="J35" s="4"/>
      <c r="K35" s="109"/>
      <c r="L35" s="95">
        <f t="shared" si="2"/>
        <v>59</v>
      </c>
      <c r="M35" s="100">
        <v>22</v>
      </c>
      <c r="N35" s="153">
        <v>1298</v>
      </c>
      <c r="O35" s="111">
        <f t="shared" si="8"/>
        <v>1958.6586826347304</v>
      </c>
      <c r="P35" s="4"/>
      <c r="Q35" s="111">
        <v>90</v>
      </c>
      <c r="R35" s="112">
        <f t="shared" si="3"/>
        <v>135.80838323353294</v>
      </c>
      <c r="S35" s="36"/>
    </row>
    <row r="36" spans="1:29">
      <c r="A36" s="100">
        <v>23</v>
      </c>
      <c r="B36" s="104">
        <v>1</v>
      </c>
      <c r="C36" s="105">
        <f t="shared" si="4"/>
        <v>6.65335994677312E-5</v>
      </c>
      <c r="D36" s="106">
        <f t="shared" si="5"/>
        <v>0.50299401197604787</v>
      </c>
      <c r="E36" s="100"/>
      <c r="F36" s="104">
        <f t="shared" si="0"/>
        <v>23</v>
      </c>
      <c r="G36" s="105">
        <f t="shared" si="6"/>
        <v>1.5602211443882915E-4</v>
      </c>
      <c r="H36" s="107">
        <f t="shared" si="1"/>
        <v>11.568862275449101</v>
      </c>
      <c r="I36" s="108">
        <f t="shared" si="7"/>
        <v>1.5602211443882915E-4</v>
      </c>
      <c r="J36" s="4"/>
      <c r="K36" s="109"/>
      <c r="L36" s="95">
        <f t="shared" si="2"/>
        <v>59</v>
      </c>
      <c r="M36" s="100">
        <v>23</v>
      </c>
      <c r="N36" s="111">
        <v>1357</v>
      </c>
      <c r="O36" s="111">
        <f t="shared" si="8"/>
        <v>682.56287425149696</v>
      </c>
      <c r="P36" s="4"/>
      <c r="Q36" s="111">
        <v>90</v>
      </c>
      <c r="R36" s="112">
        <f t="shared" si="3"/>
        <v>45.269461077844312</v>
      </c>
      <c r="S36" s="36"/>
    </row>
    <row r="37" spans="1:29">
      <c r="A37" s="100">
        <v>24</v>
      </c>
      <c r="B37" s="104">
        <v>2</v>
      </c>
      <c r="C37" s="105">
        <f t="shared" si="4"/>
        <v>1.330671989354624E-4</v>
      </c>
      <c r="D37" s="106">
        <f t="shared" si="5"/>
        <v>1.0059880239520957</v>
      </c>
      <c r="E37" s="100"/>
      <c r="F37" s="104">
        <f t="shared" si="0"/>
        <v>48</v>
      </c>
      <c r="G37" s="105">
        <f t="shared" si="6"/>
        <v>3.2561136926364344E-4</v>
      </c>
      <c r="H37" s="107">
        <f t="shared" si="1"/>
        <v>24.143712574850298</v>
      </c>
      <c r="I37" s="108">
        <f t="shared" si="7"/>
        <v>3.2561136926364338E-4</v>
      </c>
      <c r="J37" s="4"/>
      <c r="K37" s="109"/>
      <c r="L37" s="95">
        <f t="shared" si="2"/>
        <v>59</v>
      </c>
      <c r="M37" s="100">
        <v>24</v>
      </c>
      <c r="N37" s="111">
        <v>1416</v>
      </c>
      <c r="O37" s="111">
        <f t="shared" si="8"/>
        <v>1424.4790419161675</v>
      </c>
      <c r="P37" s="4"/>
      <c r="Q37" s="111">
        <v>90</v>
      </c>
      <c r="R37" s="112">
        <f t="shared" si="3"/>
        <v>90.538922155688624</v>
      </c>
      <c r="S37" s="36"/>
    </row>
    <row r="38" spans="1:29">
      <c r="A38" s="100">
        <v>25</v>
      </c>
      <c r="B38" s="104">
        <v>0</v>
      </c>
      <c r="C38" s="105">
        <f t="shared" si="4"/>
        <v>0</v>
      </c>
      <c r="D38" s="106">
        <f t="shared" si="5"/>
        <v>0</v>
      </c>
      <c r="E38" s="100"/>
      <c r="F38" s="104">
        <f t="shared" si="0"/>
        <v>0</v>
      </c>
      <c r="G38" s="105">
        <f t="shared" si="6"/>
        <v>0</v>
      </c>
      <c r="H38" s="107">
        <f t="shared" si="1"/>
        <v>0</v>
      </c>
      <c r="I38" s="108">
        <f t="shared" si="7"/>
        <v>0</v>
      </c>
      <c r="J38" s="4"/>
      <c r="K38" s="109"/>
      <c r="L38" s="95">
        <f t="shared" si="2"/>
        <v>59</v>
      </c>
      <c r="M38" s="100">
        <v>25</v>
      </c>
      <c r="N38" s="111">
        <v>1475</v>
      </c>
      <c r="O38" s="111">
        <f t="shared" si="8"/>
        <v>0</v>
      </c>
      <c r="P38" s="4"/>
      <c r="Q38" s="111">
        <v>90</v>
      </c>
      <c r="R38" s="112">
        <f t="shared" si="3"/>
        <v>0</v>
      </c>
      <c r="S38" s="36"/>
    </row>
    <row r="39" spans="1:29">
      <c r="A39" s="100">
        <v>26</v>
      </c>
      <c r="B39" s="104">
        <v>1</v>
      </c>
      <c r="C39" s="105">
        <f t="shared" si="4"/>
        <v>6.65335994677312E-5</v>
      </c>
      <c r="D39" s="106">
        <f t="shared" si="5"/>
        <v>0.50299401197604787</v>
      </c>
      <c r="E39" s="100"/>
      <c r="F39" s="104">
        <f t="shared" si="0"/>
        <v>26</v>
      </c>
      <c r="G39" s="105">
        <f t="shared" si="6"/>
        <v>1.7637282501780686E-4</v>
      </c>
      <c r="H39" s="107">
        <f t="shared" si="1"/>
        <v>13.077844311377245</v>
      </c>
      <c r="I39" s="108">
        <f t="shared" si="7"/>
        <v>1.7637282501780684E-4</v>
      </c>
      <c r="J39" s="4"/>
      <c r="K39" s="109"/>
      <c r="L39" s="95">
        <f t="shared" si="2"/>
        <v>59</v>
      </c>
      <c r="M39" s="100">
        <v>26</v>
      </c>
      <c r="N39" s="111">
        <v>1534</v>
      </c>
      <c r="O39" s="111">
        <f t="shared" si="8"/>
        <v>771.59281437125742</v>
      </c>
      <c r="P39" s="4"/>
      <c r="Q39" s="111">
        <v>90</v>
      </c>
      <c r="R39" s="112">
        <f t="shared" si="3"/>
        <v>45.269461077844312</v>
      </c>
      <c r="S39" s="36"/>
    </row>
    <row r="40" spans="1:29">
      <c r="A40" s="100">
        <v>27</v>
      </c>
      <c r="B40" s="104">
        <v>0</v>
      </c>
      <c r="C40" s="105">
        <f t="shared" si="4"/>
        <v>0</v>
      </c>
      <c r="D40" s="106">
        <f t="shared" si="5"/>
        <v>0</v>
      </c>
      <c r="E40" s="100"/>
      <c r="F40" s="104">
        <f t="shared" si="0"/>
        <v>0</v>
      </c>
      <c r="G40" s="105">
        <f t="shared" si="6"/>
        <v>0</v>
      </c>
      <c r="H40" s="107">
        <f t="shared" si="1"/>
        <v>0</v>
      </c>
      <c r="I40" s="108">
        <f t="shared" si="7"/>
        <v>0</v>
      </c>
      <c r="J40" s="4"/>
      <c r="K40" s="109"/>
      <c r="L40" s="95">
        <f t="shared" si="2"/>
        <v>59</v>
      </c>
      <c r="M40" s="100">
        <v>27</v>
      </c>
      <c r="N40" s="153">
        <v>1593</v>
      </c>
      <c r="O40" s="111">
        <f t="shared" si="8"/>
        <v>0</v>
      </c>
      <c r="P40" s="4"/>
      <c r="Q40" s="111">
        <v>90</v>
      </c>
      <c r="R40" s="112">
        <f t="shared" si="3"/>
        <v>0</v>
      </c>
      <c r="S40" s="36"/>
    </row>
    <row r="41" spans="1:29">
      <c r="A41" s="100">
        <v>28</v>
      </c>
      <c r="B41" s="104">
        <v>0</v>
      </c>
      <c r="C41" s="105">
        <f t="shared" si="4"/>
        <v>0</v>
      </c>
      <c r="D41" s="106">
        <f t="shared" si="5"/>
        <v>0</v>
      </c>
      <c r="E41" s="100"/>
      <c r="F41" s="104">
        <f t="shared" si="0"/>
        <v>0</v>
      </c>
      <c r="G41" s="105">
        <f t="shared" si="6"/>
        <v>0</v>
      </c>
      <c r="H41" s="107">
        <f t="shared" si="1"/>
        <v>0</v>
      </c>
      <c r="I41" s="108">
        <f t="shared" si="7"/>
        <v>0</v>
      </c>
      <c r="J41" s="4"/>
      <c r="K41" s="109"/>
      <c r="L41" s="95">
        <f t="shared" si="2"/>
        <v>59</v>
      </c>
      <c r="M41" s="100">
        <v>28</v>
      </c>
      <c r="N41" s="111">
        <v>1652</v>
      </c>
      <c r="O41" s="111">
        <f>N41*D41</f>
        <v>0</v>
      </c>
      <c r="P41" s="4"/>
      <c r="Q41" s="111">
        <v>90</v>
      </c>
      <c r="R41" s="112">
        <f t="shared" si="3"/>
        <v>0</v>
      </c>
      <c r="S41" s="36"/>
    </row>
    <row r="42" spans="1:29">
      <c r="A42" s="100">
        <v>29</v>
      </c>
      <c r="B42" s="104">
        <v>0</v>
      </c>
      <c r="C42" s="105">
        <f t="shared" si="4"/>
        <v>0</v>
      </c>
      <c r="D42" s="106">
        <f t="shared" si="5"/>
        <v>0</v>
      </c>
      <c r="E42" s="100"/>
      <c r="F42" s="104">
        <f t="shared" si="0"/>
        <v>0</v>
      </c>
      <c r="G42" s="105">
        <f t="shared" si="6"/>
        <v>0</v>
      </c>
      <c r="H42" s="107">
        <f t="shared" si="1"/>
        <v>0</v>
      </c>
      <c r="I42" s="108">
        <f t="shared" si="7"/>
        <v>0</v>
      </c>
      <c r="J42" s="4"/>
      <c r="K42" s="109"/>
      <c r="L42" s="95">
        <f t="shared" si="2"/>
        <v>59</v>
      </c>
      <c r="M42" s="154">
        <v>29</v>
      </c>
      <c r="N42" s="111">
        <v>1711</v>
      </c>
      <c r="O42" s="111">
        <f t="shared" si="8"/>
        <v>0</v>
      </c>
      <c r="P42" s="4"/>
      <c r="Q42" s="111">
        <v>90</v>
      </c>
      <c r="R42" s="112">
        <f t="shared" si="3"/>
        <v>0</v>
      </c>
      <c r="S42" s="36"/>
    </row>
    <row r="43" spans="1:29">
      <c r="A43" s="100">
        <v>33</v>
      </c>
      <c r="B43" s="104">
        <v>0</v>
      </c>
      <c r="C43" s="105">
        <f t="shared" si="4"/>
        <v>0</v>
      </c>
      <c r="D43" s="106">
        <f t="shared" si="5"/>
        <v>0</v>
      </c>
      <c r="E43" s="100"/>
      <c r="F43" s="104">
        <f t="shared" si="0"/>
        <v>0</v>
      </c>
      <c r="G43" s="105">
        <f t="shared" si="6"/>
        <v>0</v>
      </c>
      <c r="H43" s="107">
        <f t="shared" si="1"/>
        <v>0</v>
      </c>
      <c r="I43" s="108">
        <f t="shared" si="7"/>
        <v>0</v>
      </c>
      <c r="J43" s="4"/>
      <c r="K43" s="109"/>
      <c r="L43" s="95">
        <f t="shared" si="2"/>
        <v>59</v>
      </c>
      <c r="M43" s="154">
        <v>33</v>
      </c>
      <c r="N43" s="153">
        <v>1947</v>
      </c>
      <c r="O43" s="111">
        <f t="shared" si="8"/>
        <v>0</v>
      </c>
      <c r="P43" s="4"/>
      <c r="Q43" s="111">
        <v>90</v>
      </c>
      <c r="R43" s="112">
        <f t="shared" si="3"/>
        <v>0</v>
      </c>
      <c r="S43" s="36"/>
    </row>
    <row r="44" spans="1:29" ht="15.75" thickBot="1">
      <c r="A44" s="115"/>
      <c r="B44" s="39">
        <f>SUM(B14:B43)</f>
        <v>15030</v>
      </c>
      <c r="C44" s="40">
        <f>SUM(C13:C43)</f>
        <v>1</v>
      </c>
      <c r="D44" s="116">
        <f>SUM(D14:D43)</f>
        <v>7559.9999999999991</v>
      </c>
      <c r="E44" s="155"/>
      <c r="F44" s="117">
        <f>SUM(F14:F43)</f>
        <v>147415</v>
      </c>
      <c r="G44" s="118">
        <f>SUM(G14:G43)</f>
        <v>1</v>
      </c>
      <c r="H44" s="116">
        <f>SUM(H14:H43)</f>
        <v>74148.862275449108</v>
      </c>
      <c r="I44" s="119">
        <f>SUM(I14:I43)</f>
        <v>1</v>
      </c>
      <c r="J44" s="41"/>
      <c r="K44" s="120"/>
      <c r="L44" s="42"/>
      <c r="M44" s="3"/>
      <c r="N44" s="3"/>
      <c r="O44" s="121">
        <f>SUM(O14:O43)</f>
        <v>4503150.9700598801</v>
      </c>
      <c r="P44" s="4"/>
      <c r="Q44" s="3"/>
      <c r="R44" s="122">
        <f>SUM(R14:R43)</f>
        <v>680400.00000000012</v>
      </c>
      <c r="S44" s="43"/>
      <c r="T44" s="42"/>
    </row>
    <row r="45" spans="1:29" ht="15.75" thickTop="1">
      <c r="A45" s="3"/>
      <c r="B45" s="3"/>
      <c r="C45" s="3"/>
      <c r="D45" s="3"/>
      <c r="F45" s="3"/>
      <c r="G45" s="3"/>
      <c r="H45" s="3"/>
      <c r="I45" s="3"/>
      <c r="K45" s="120"/>
      <c r="O45" s="8"/>
      <c r="R45" s="8"/>
    </row>
    <row r="46" spans="1:29">
      <c r="A46" s="98" t="s">
        <v>97</v>
      </c>
      <c r="K46" s="120"/>
    </row>
    <row r="47" spans="1:29">
      <c r="A47" s="98" t="s">
        <v>98</v>
      </c>
      <c r="K47" s="120"/>
      <c r="N47" s="95" t="s">
        <v>7</v>
      </c>
      <c r="Q47" s="95" t="s">
        <v>50</v>
      </c>
    </row>
    <row r="48" spans="1:29">
      <c r="A48" s="44" t="s">
        <v>99</v>
      </c>
      <c r="K48" s="109"/>
      <c r="N48" s="123" t="s">
        <v>51</v>
      </c>
      <c r="Q48" s="123" t="s">
        <v>51</v>
      </c>
    </row>
    <row r="49" spans="1:37" ht="15.75">
      <c r="A49" s="19"/>
      <c r="K49" s="109"/>
      <c r="N49" s="124" t="s">
        <v>66</v>
      </c>
      <c r="O49" s="6">
        <f>SUM(O14:O43)</f>
        <v>4503150.9700598801</v>
      </c>
      <c r="Q49" s="124" t="str">
        <f>N49</f>
        <v>fall  0.4075</v>
      </c>
      <c r="R49" s="6">
        <f>SUM(R14:R43)</f>
        <v>680400.00000000012</v>
      </c>
      <c r="S49" s="6"/>
      <c r="T49" s="6"/>
      <c r="U49" s="95" t="s">
        <v>3</v>
      </c>
    </row>
    <row r="50" spans="1:37">
      <c r="K50" s="109"/>
      <c r="N50" s="125" t="s">
        <v>68</v>
      </c>
      <c r="O50" s="6">
        <f>O64</f>
        <v>4503150.9700598801</v>
      </c>
      <c r="Q50" s="125" t="str">
        <f>N50</f>
        <v>spr  0.4075</v>
      </c>
      <c r="R50" s="6">
        <f>R64</f>
        <v>680400.00000000012</v>
      </c>
      <c r="S50" s="6"/>
      <c r="T50" s="6"/>
      <c r="U50" s="95" t="s">
        <v>3</v>
      </c>
    </row>
    <row r="51" spans="1:37">
      <c r="K51" s="109"/>
      <c r="M51" s="6">
        <f>O51/O49</f>
        <v>0.45398773006134974</v>
      </c>
      <c r="N51" s="124" t="s">
        <v>67</v>
      </c>
      <c r="O51" s="6">
        <f>O66</f>
        <v>2044375.28702105</v>
      </c>
      <c r="Q51" s="124" t="str">
        <f>N51</f>
        <v>sum  0.1850</v>
      </c>
      <c r="R51" s="6">
        <f>R66</f>
        <v>308893.25153374241</v>
      </c>
      <c r="S51" s="6"/>
      <c r="T51" s="6"/>
      <c r="U51" s="95" t="s">
        <v>3</v>
      </c>
    </row>
    <row r="52" spans="1:37" ht="15.75">
      <c r="A52" s="93"/>
      <c r="B52" s="113"/>
      <c r="C52" s="113"/>
      <c r="K52" s="109"/>
      <c r="N52" s="114" t="s">
        <v>3</v>
      </c>
      <c r="Q52" s="114" t="s">
        <v>3</v>
      </c>
      <c r="T52" s="6"/>
    </row>
    <row r="53" spans="1:37" ht="15.75">
      <c r="A53" s="113"/>
      <c r="B53" s="113"/>
      <c r="C53" s="113"/>
      <c r="K53" s="109"/>
      <c r="N53" s="45" t="s">
        <v>52</v>
      </c>
      <c r="O53" s="46">
        <f>O51+O50+O49</f>
        <v>11050677.22714081</v>
      </c>
      <c r="P53" s="47"/>
      <c r="Q53" s="45" t="s">
        <v>52</v>
      </c>
      <c r="R53" s="46">
        <f>R51+R50+R49</f>
        <v>1669693.2515337425</v>
      </c>
      <c r="S53" s="48">
        <f>R53+O53</f>
        <v>12720370.478674553</v>
      </c>
      <c r="T53" s="49"/>
      <c r="U53" s="50"/>
      <c r="V53" s="113"/>
      <c r="W53" s="113"/>
      <c r="X53" s="113"/>
      <c r="Y53" s="113"/>
      <c r="Z53" s="113"/>
      <c r="AA53" s="113"/>
      <c r="AB53" s="113"/>
    </row>
    <row r="54" spans="1:37" ht="15.75">
      <c r="A54" s="113"/>
      <c r="B54" s="113"/>
      <c r="C54" s="113"/>
      <c r="K54" s="109"/>
      <c r="N54" s="51" t="s">
        <v>53</v>
      </c>
      <c r="O54" s="52" t="s">
        <v>3</v>
      </c>
      <c r="P54" s="47"/>
      <c r="Q54" s="51" t="s">
        <v>54</v>
      </c>
      <c r="R54" s="52"/>
      <c r="S54" s="53"/>
      <c r="T54" s="49"/>
      <c r="U54" s="50"/>
      <c r="V54" s="113"/>
      <c r="W54" s="113"/>
      <c r="X54" s="113"/>
      <c r="Y54" s="113"/>
      <c r="Z54" s="113"/>
      <c r="AA54" s="113"/>
      <c r="AB54" s="113"/>
    </row>
    <row r="55" spans="1:37" ht="15.75">
      <c r="A55" s="113"/>
      <c r="B55" s="113"/>
      <c r="C55" s="113"/>
      <c r="K55" s="109"/>
      <c r="L55" s="126" t="s">
        <v>70</v>
      </c>
      <c r="N55" s="37"/>
      <c r="O55" s="127"/>
      <c r="Q55" s="3"/>
      <c r="R55" s="3"/>
      <c r="S55" s="3"/>
      <c r="T55" s="6"/>
      <c r="U55" s="50"/>
      <c r="V55" s="113"/>
      <c r="W55" s="113"/>
      <c r="X55" s="113"/>
      <c r="Y55" s="113"/>
      <c r="Z55" s="113"/>
      <c r="AA55" s="113"/>
      <c r="AB55" s="113"/>
    </row>
    <row r="56" spans="1:37">
      <c r="A56" s="113"/>
      <c r="B56" s="113"/>
      <c r="C56" s="128"/>
      <c r="K56" s="109"/>
      <c r="L56" s="126" t="s">
        <v>71</v>
      </c>
      <c r="N56" s="6"/>
      <c r="O56" s="95" t="s">
        <v>3</v>
      </c>
      <c r="T56" s="6"/>
      <c r="U56" s="113"/>
      <c r="V56" s="113"/>
      <c r="W56" s="113"/>
      <c r="X56" s="113"/>
      <c r="Y56" s="113"/>
      <c r="Z56" s="113"/>
      <c r="AA56" s="113"/>
      <c r="AB56" s="113"/>
    </row>
    <row r="57" spans="1:37" ht="15.75">
      <c r="A57" s="113"/>
      <c r="B57" s="113"/>
      <c r="C57" s="128"/>
      <c r="K57" s="109"/>
      <c r="L57" s="129"/>
      <c r="N57" s="92" t="s">
        <v>69</v>
      </c>
      <c r="O57" s="91">
        <f>O53-O55</f>
        <v>11050677.22714081</v>
      </c>
      <c r="T57" s="49"/>
      <c r="U57" s="113"/>
      <c r="V57" s="130"/>
      <c r="W57" s="130"/>
      <c r="X57" s="130"/>
      <c r="Y57" s="113"/>
      <c r="Z57" s="113"/>
      <c r="AA57" s="113"/>
      <c r="AB57" s="113"/>
    </row>
    <row r="58" spans="1:37" ht="15.75" thickBot="1">
      <c r="A58" s="113"/>
      <c r="B58" s="113"/>
      <c r="C58" s="128"/>
      <c r="K58" s="109"/>
      <c r="T58" s="6"/>
      <c r="U58" s="130"/>
      <c r="V58" s="49"/>
      <c r="W58" s="36"/>
      <c r="X58" s="49"/>
      <c r="Y58" s="113"/>
      <c r="Z58" s="113"/>
      <c r="AA58" s="113"/>
      <c r="AB58" s="113"/>
    </row>
    <row r="59" spans="1:37" ht="17.25" thickTop="1" thickBot="1">
      <c r="A59" s="113"/>
      <c r="B59" s="113"/>
      <c r="C59" s="128"/>
      <c r="K59" s="109" t="s">
        <v>3</v>
      </c>
      <c r="L59" s="113"/>
      <c r="M59" s="113"/>
      <c r="O59" s="54" t="s">
        <v>55</v>
      </c>
      <c r="P59" s="131"/>
      <c r="Q59" s="132"/>
      <c r="R59" s="55">
        <f>R53+O57</f>
        <v>12720370.478674553</v>
      </c>
      <c r="S59" s="56"/>
      <c r="T59" s="49"/>
      <c r="U59" s="113"/>
      <c r="V59" s="49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</row>
    <row r="60" spans="1:37" ht="15.75" thickTop="1">
      <c r="A60" s="113"/>
      <c r="B60" s="113"/>
      <c r="C60" s="128"/>
      <c r="K60" s="109" t="s">
        <v>3</v>
      </c>
      <c r="L60" s="113"/>
      <c r="M60" s="113"/>
      <c r="N60" s="6"/>
      <c r="O60" s="8"/>
      <c r="P60" s="8"/>
      <c r="Q60" s="8"/>
      <c r="R60" s="8"/>
      <c r="S60" s="8"/>
      <c r="T60" s="49"/>
      <c r="U60" s="113"/>
      <c r="V60" s="49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</row>
    <row r="61" spans="1:37" ht="15.75">
      <c r="A61" s="113"/>
      <c r="B61" s="113"/>
      <c r="C61" s="128"/>
      <c r="K61" s="109"/>
      <c r="L61" s="113"/>
      <c r="M61" s="113"/>
      <c r="N61" s="58" t="s">
        <v>7</v>
      </c>
      <c r="O61" s="59"/>
      <c r="P61" s="59"/>
      <c r="Q61" s="133" t="s">
        <v>50</v>
      </c>
      <c r="R61" s="60"/>
      <c r="S61" s="61"/>
      <c r="T61" s="49"/>
      <c r="U61" s="130"/>
      <c r="V61" s="49"/>
      <c r="W61" s="113"/>
      <c r="X61" s="49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</row>
    <row r="62" spans="1:37" ht="15.75">
      <c r="A62" s="113"/>
      <c r="B62" s="113"/>
      <c r="C62" s="128"/>
      <c r="K62" s="109"/>
      <c r="L62" s="113"/>
      <c r="M62" s="113"/>
      <c r="N62" s="134" t="s">
        <v>56</v>
      </c>
      <c r="O62" s="57"/>
      <c r="P62" s="113"/>
      <c r="Q62" s="49"/>
      <c r="R62" s="57"/>
      <c r="S62" s="62"/>
      <c r="T62" s="49"/>
      <c r="U62" s="65"/>
      <c r="V62" s="49"/>
      <c r="W62" s="113"/>
      <c r="X62" s="49"/>
      <c r="Y62" s="49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</row>
    <row r="63" spans="1:37">
      <c r="A63" s="113"/>
      <c r="B63" s="113"/>
      <c r="C63" s="128"/>
      <c r="K63" s="109"/>
      <c r="L63" s="113"/>
      <c r="M63" s="113"/>
      <c r="N63" s="135" t="s">
        <v>57</v>
      </c>
      <c r="O63" s="63">
        <f>O49</f>
        <v>4503150.9700598801</v>
      </c>
      <c r="P63" s="136">
        <v>0.40749999999999997</v>
      </c>
      <c r="Q63" s="135" t="s">
        <v>57</v>
      </c>
      <c r="R63" s="63">
        <f>R49</f>
        <v>680400.00000000012</v>
      </c>
      <c r="S63" s="137">
        <f>P63</f>
        <v>0.40749999999999997</v>
      </c>
      <c r="T63" s="49"/>
      <c r="U63" s="65"/>
      <c r="V63" s="49"/>
      <c r="W63" s="113"/>
      <c r="X63" s="49"/>
      <c r="Y63" s="49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</row>
    <row r="64" spans="1:37" ht="15.75">
      <c r="A64" s="113"/>
      <c r="B64" s="113"/>
      <c r="C64" s="113"/>
      <c r="K64" s="109"/>
      <c r="L64" s="113"/>
      <c r="M64" s="113"/>
      <c r="N64" s="138" t="s">
        <v>58</v>
      </c>
      <c r="O64" s="64">
        <f>O69*P64</f>
        <v>4503150.9700598801</v>
      </c>
      <c r="P64" s="136">
        <v>0.40749999999999997</v>
      </c>
      <c r="Q64" s="138" t="s">
        <v>58</v>
      </c>
      <c r="R64" s="64">
        <f>R69*S64</f>
        <v>680400.00000000012</v>
      </c>
      <c r="S64" s="137">
        <f>P64</f>
        <v>0.40749999999999997</v>
      </c>
      <c r="T64" s="49"/>
      <c r="U64" s="50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</row>
    <row r="65" spans="1:37">
      <c r="K65" s="109"/>
      <c r="L65" s="113"/>
      <c r="M65" s="113"/>
      <c r="N65" s="138" t="s">
        <v>60</v>
      </c>
      <c r="O65" s="66">
        <f>O63+O64</f>
        <v>9006301.9401197601</v>
      </c>
      <c r="P65" s="139"/>
      <c r="Q65" s="138" t="s">
        <v>60</v>
      </c>
      <c r="R65" s="66">
        <f>R63+R64</f>
        <v>1360800.0000000002</v>
      </c>
      <c r="S65" s="137"/>
      <c r="T65" s="49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</row>
    <row r="66" spans="1:37">
      <c r="K66" s="109"/>
      <c r="L66" s="113"/>
      <c r="M66" s="113"/>
      <c r="N66" s="138" t="s">
        <v>61</v>
      </c>
      <c r="O66" s="66">
        <f>O69*P66</f>
        <v>2044375.28702105</v>
      </c>
      <c r="P66" s="136">
        <v>0.185</v>
      </c>
      <c r="Q66" s="138" t="s">
        <v>61</v>
      </c>
      <c r="R66" s="66">
        <f>R69*S66</f>
        <v>308893.25153374241</v>
      </c>
      <c r="S66" s="137">
        <f>P66</f>
        <v>0.185</v>
      </c>
      <c r="T66" s="49"/>
      <c r="U66" s="113"/>
      <c r="V66" s="130"/>
      <c r="W66" s="130"/>
      <c r="X66" s="130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:37">
      <c r="K67" s="109"/>
      <c r="L67" s="113"/>
      <c r="M67" s="113"/>
      <c r="N67" s="138">
        <v>100</v>
      </c>
      <c r="O67" s="63">
        <f>O65+O66</f>
        <v>11050677.22714081</v>
      </c>
      <c r="P67" s="36"/>
      <c r="Q67" s="138">
        <v>100</v>
      </c>
      <c r="R67" s="63">
        <f>R65+R66</f>
        <v>1669693.2515337425</v>
      </c>
      <c r="S67" s="67"/>
      <c r="T67" s="49"/>
      <c r="U67" s="113"/>
      <c r="V67" s="36"/>
      <c r="W67" s="49"/>
      <c r="X67" s="49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</row>
    <row r="68" spans="1:37" ht="15.75">
      <c r="K68" s="140"/>
      <c r="L68" s="113"/>
      <c r="M68" s="113"/>
      <c r="N68" s="141"/>
      <c r="O68" s="68"/>
      <c r="P68" s="86"/>
      <c r="Q68" s="142"/>
      <c r="R68" s="68"/>
      <c r="S68" s="87"/>
      <c r="T68" s="49"/>
      <c r="U68" s="113"/>
      <c r="V68" s="36"/>
      <c r="W68" s="49"/>
      <c r="X68" s="49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</row>
    <row r="69" spans="1:37">
      <c r="K69" s="140"/>
      <c r="L69" s="113"/>
      <c r="M69" s="113"/>
      <c r="N69" s="36"/>
      <c r="O69" s="49">
        <f>O63/0.4075</f>
        <v>11050677.22714081</v>
      </c>
      <c r="P69" s="36"/>
      <c r="Q69" s="36"/>
      <c r="R69" s="49">
        <f>R63/0.4075</f>
        <v>1669693.2515337428</v>
      </c>
      <c r="S69" s="36"/>
      <c r="T69" s="49"/>
      <c r="U69" s="113"/>
      <c r="V69" s="36"/>
      <c r="W69" s="49"/>
      <c r="X69" s="49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</row>
    <row r="70" spans="1:37">
      <c r="K70" s="140"/>
      <c r="L70" s="113"/>
      <c r="M70" s="113"/>
      <c r="N70" s="113"/>
      <c r="O70" s="113"/>
      <c r="P70" s="113"/>
      <c r="Q70" s="113"/>
      <c r="R70" s="113"/>
      <c r="S70" s="113"/>
      <c r="T70" s="49"/>
      <c r="U70" s="113"/>
      <c r="V70" s="113"/>
      <c r="W70" s="49"/>
      <c r="X70" s="49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</row>
    <row r="71" spans="1:37" ht="15.75">
      <c r="L71" s="113"/>
      <c r="M71" s="113"/>
      <c r="N71" s="49"/>
      <c r="O71" s="57"/>
      <c r="P71" s="113"/>
      <c r="Q71" s="49"/>
      <c r="R71" s="57"/>
      <c r="S71" s="57"/>
      <c r="T71" s="49"/>
      <c r="U71" s="113"/>
      <c r="V71" s="113"/>
      <c r="W71" s="49"/>
      <c r="X71" s="49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</row>
    <row r="72" spans="1:37" ht="15.7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4"/>
      <c r="M72" s="144"/>
      <c r="N72" s="145"/>
      <c r="O72" s="69"/>
      <c r="P72" s="144"/>
      <c r="Q72" s="145"/>
      <c r="R72" s="69"/>
      <c r="S72" s="69"/>
      <c r="T72" s="49"/>
      <c r="U72" s="113"/>
      <c r="V72" s="113"/>
      <c r="W72" s="49"/>
      <c r="X72" s="49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</row>
    <row r="73" spans="1:37" ht="15.75">
      <c r="L73" s="113"/>
      <c r="M73" s="146"/>
      <c r="N73" s="70"/>
      <c r="O73" s="71"/>
      <c r="P73" s="146"/>
      <c r="Q73" s="70"/>
      <c r="R73" s="71"/>
      <c r="S73" s="71"/>
      <c r="T73" s="70"/>
      <c r="U73" s="146"/>
      <c r="V73" s="146"/>
      <c r="W73" s="147"/>
      <c r="X73" s="49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</row>
    <row r="74" spans="1:37" ht="15.75">
      <c r="L74" s="113"/>
      <c r="M74" s="146"/>
      <c r="N74" s="70"/>
      <c r="O74" s="71"/>
      <c r="P74" s="146"/>
      <c r="Q74" s="70"/>
      <c r="R74" s="71"/>
      <c r="S74" s="71"/>
      <c r="T74" s="70"/>
      <c r="U74" s="146"/>
      <c r="V74" s="146"/>
      <c r="W74" s="147"/>
      <c r="X74" s="49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</row>
    <row r="75" spans="1:37">
      <c r="L75" s="113"/>
      <c r="M75" s="146"/>
      <c r="N75" s="148"/>
      <c r="O75" s="148"/>
      <c r="P75" s="146"/>
      <c r="Q75" s="146"/>
      <c r="R75" s="148"/>
      <c r="S75" s="148"/>
      <c r="T75" s="70"/>
      <c r="U75" s="146"/>
      <c r="V75" s="146"/>
      <c r="W75" s="147"/>
      <c r="X75" s="49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</row>
    <row r="76" spans="1:37">
      <c r="L76" s="113"/>
      <c r="M76" s="146"/>
      <c r="N76" s="148"/>
      <c r="O76" s="72"/>
      <c r="P76" s="146"/>
      <c r="Q76" s="148"/>
      <c r="R76" s="72"/>
      <c r="S76" s="72"/>
      <c r="T76" s="70"/>
      <c r="U76" s="146"/>
      <c r="V76" s="146"/>
      <c r="W76" s="147"/>
      <c r="X76" s="49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 ht="15.75">
      <c r="L77" s="113"/>
      <c r="M77" s="146"/>
      <c r="N77" s="146"/>
      <c r="O77" s="146"/>
      <c r="P77" s="146"/>
      <c r="Q77" s="146"/>
      <c r="R77" s="73"/>
      <c r="S77" s="73"/>
      <c r="T77" s="70"/>
      <c r="U77" s="146"/>
      <c r="V77" s="146"/>
      <c r="W77" s="147"/>
      <c r="X77" s="49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</row>
    <row r="78" spans="1:37" ht="15.75">
      <c r="L78" s="113"/>
      <c r="M78" s="146"/>
      <c r="N78" s="70"/>
      <c r="O78" s="71"/>
      <c r="P78" s="74"/>
      <c r="Q78" s="70"/>
      <c r="R78" s="71"/>
      <c r="S78" s="71"/>
      <c r="T78" s="70"/>
      <c r="U78" s="146"/>
      <c r="V78" s="146"/>
      <c r="W78" s="147"/>
      <c r="X78" s="49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</row>
    <row r="79" spans="1:37" ht="15.75">
      <c r="L79" s="113"/>
      <c r="M79" s="146"/>
      <c r="N79" s="70"/>
      <c r="O79" s="71"/>
      <c r="P79" s="146"/>
      <c r="Q79" s="70"/>
      <c r="R79" s="71"/>
      <c r="S79" s="71"/>
      <c r="T79" s="70"/>
      <c r="U79" s="146"/>
      <c r="V79" s="146"/>
      <c r="W79" s="147"/>
      <c r="X79" s="49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</row>
    <row r="80" spans="1:37" ht="15.75">
      <c r="L80" s="113"/>
      <c r="M80" s="146"/>
      <c r="N80" s="70"/>
      <c r="O80" s="71"/>
      <c r="P80" s="146"/>
      <c r="Q80" s="70"/>
      <c r="R80" s="71"/>
      <c r="S80" s="71"/>
      <c r="T80" s="70"/>
      <c r="U80" s="146"/>
      <c r="V80" s="146"/>
      <c r="W80" s="147"/>
      <c r="X80" s="49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</row>
    <row r="81" spans="1:37" ht="15.75">
      <c r="L81" s="113"/>
      <c r="M81" s="146"/>
      <c r="N81" s="70"/>
      <c r="O81" s="71"/>
      <c r="P81" s="146"/>
      <c r="Q81" s="70"/>
      <c r="R81" s="71"/>
      <c r="S81" s="71"/>
      <c r="T81" s="70"/>
      <c r="U81" s="146"/>
      <c r="V81" s="146"/>
      <c r="W81" s="147"/>
      <c r="X81" s="49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</row>
    <row r="82" spans="1:37">
      <c r="L82" s="113"/>
      <c r="M82" s="146"/>
      <c r="N82" s="148"/>
      <c r="O82" s="148"/>
      <c r="P82" s="146"/>
      <c r="Q82" s="146"/>
      <c r="R82" s="148"/>
      <c r="S82" s="148"/>
      <c r="T82" s="70"/>
      <c r="U82" s="146"/>
      <c r="V82" s="146"/>
      <c r="W82" s="49"/>
      <c r="X82" s="147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</row>
    <row r="83" spans="1:37">
      <c r="L83" s="113"/>
      <c r="M83" s="146"/>
      <c r="N83" s="148"/>
      <c r="O83" s="72"/>
      <c r="P83" s="146"/>
      <c r="Q83" s="148"/>
      <c r="R83" s="72"/>
      <c r="S83" s="72"/>
      <c r="T83" s="70"/>
      <c r="U83" s="146"/>
      <c r="V83" s="146"/>
      <c r="W83" s="49"/>
      <c r="X83" s="147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</row>
    <row r="84" spans="1:37" ht="15.75">
      <c r="L84" s="113"/>
      <c r="M84" s="146"/>
      <c r="N84" s="146"/>
      <c r="O84" s="146"/>
      <c r="P84" s="146"/>
      <c r="Q84" s="146"/>
      <c r="R84" s="73"/>
      <c r="S84" s="73"/>
      <c r="T84" s="70"/>
      <c r="U84" s="146"/>
      <c r="V84" s="146"/>
      <c r="W84" s="49"/>
      <c r="X84" s="147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</row>
    <row r="85" spans="1:37" ht="15.75">
      <c r="L85" s="113"/>
      <c r="M85" s="146"/>
      <c r="N85" s="70"/>
      <c r="O85" s="71"/>
      <c r="P85" s="74"/>
      <c r="Q85" s="70"/>
      <c r="R85" s="71"/>
      <c r="S85" s="71"/>
      <c r="T85" s="70"/>
      <c r="U85" s="146"/>
      <c r="V85" s="146"/>
      <c r="W85" s="49"/>
      <c r="X85" s="147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</row>
    <row r="86" spans="1:37" ht="15.75">
      <c r="L86" s="113"/>
      <c r="M86" s="146"/>
      <c r="N86" s="70"/>
      <c r="O86" s="146"/>
      <c r="P86" s="148"/>
      <c r="Q86" s="71"/>
      <c r="R86" s="71"/>
      <c r="S86" s="70"/>
      <c r="T86" s="70"/>
      <c r="U86" s="146"/>
      <c r="V86" s="146"/>
      <c r="W86" s="49"/>
      <c r="X86" s="49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</row>
    <row r="87" spans="1:37" ht="15.75">
      <c r="L87" s="113"/>
      <c r="M87" s="146"/>
      <c r="N87" s="70"/>
      <c r="O87" s="71"/>
      <c r="P87" s="74"/>
      <c r="Q87" s="70"/>
      <c r="R87" s="71"/>
      <c r="S87" s="71"/>
      <c r="T87" s="70"/>
      <c r="U87" s="146"/>
      <c r="V87" s="146"/>
      <c r="W87" s="49"/>
      <c r="X87" s="49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</row>
    <row r="88" spans="1:37" ht="15.7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4"/>
      <c r="M88" s="146"/>
      <c r="N88" s="148"/>
      <c r="O88" s="71"/>
      <c r="P88" s="146"/>
      <c r="Q88" s="148"/>
      <c r="R88" s="71"/>
      <c r="S88" s="71"/>
      <c r="T88" s="70"/>
      <c r="U88" s="146"/>
      <c r="V88" s="146"/>
      <c r="W88" s="49"/>
      <c r="X88" s="49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</row>
    <row r="89" spans="1:37" ht="15.75">
      <c r="A89" s="143" t="s">
        <v>59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4"/>
      <c r="M89" s="146"/>
      <c r="N89" s="148"/>
      <c r="O89" s="71"/>
      <c r="P89" s="146"/>
      <c r="Q89" s="148"/>
      <c r="R89" s="71"/>
      <c r="S89" s="71"/>
      <c r="T89" s="70"/>
      <c r="U89" s="146"/>
      <c r="V89" s="146"/>
      <c r="W89" s="49"/>
      <c r="X89" s="49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</row>
    <row r="90" spans="1:37" ht="23.25">
      <c r="A90" s="75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70"/>
      <c r="O90" s="71"/>
      <c r="P90" s="146"/>
      <c r="Q90" s="70"/>
      <c r="R90" s="71"/>
      <c r="S90" s="71"/>
      <c r="T90" s="70"/>
      <c r="U90" s="146"/>
      <c r="V90" s="146"/>
      <c r="W90" s="49"/>
      <c r="X90" s="49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</row>
    <row r="91" spans="1:37" ht="15.7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70"/>
      <c r="O91" s="71"/>
      <c r="P91" s="146"/>
      <c r="Q91" s="70"/>
      <c r="R91" s="71"/>
      <c r="S91" s="71"/>
      <c r="T91" s="70"/>
      <c r="U91" s="146"/>
      <c r="V91" s="146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</row>
    <row r="92" spans="1:37" ht="15.7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70"/>
      <c r="O92" s="71"/>
      <c r="P92" s="146"/>
      <c r="Q92" s="70"/>
      <c r="R92" s="71"/>
      <c r="S92" s="71"/>
      <c r="T92" s="70"/>
      <c r="U92" s="146"/>
      <c r="V92" s="146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</row>
    <row r="93" spans="1:37" ht="15.7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70"/>
      <c r="O93" s="71"/>
      <c r="P93" s="146"/>
      <c r="Q93" s="70"/>
      <c r="R93" s="71"/>
      <c r="S93" s="71"/>
      <c r="T93" s="70"/>
      <c r="U93" s="146"/>
      <c r="V93" s="146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</row>
    <row r="94" spans="1:37" ht="15.75">
      <c r="A94" s="146"/>
      <c r="B94" s="146"/>
      <c r="C94" s="146"/>
      <c r="D94" s="146"/>
      <c r="E94" s="146"/>
      <c r="F94" s="146"/>
      <c r="G94" s="146"/>
      <c r="H94" s="146"/>
      <c r="I94" s="74"/>
      <c r="J94" s="146"/>
      <c r="K94" s="146"/>
      <c r="L94" s="146"/>
      <c r="M94" s="146"/>
      <c r="N94" s="70"/>
      <c r="O94" s="71"/>
      <c r="P94" s="146"/>
      <c r="Q94" s="70"/>
      <c r="R94" s="71"/>
      <c r="S94" s="71"/>
      <c r="T94" s="70"/>
      <c r="U94" s="146"/>
      <c r="V94" s="146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</row>
    <row r="95" spans="1:37" ht="15.75">
      <c r="A95" s="146"/>
      <c r="B95" s="146"/>
      <c r="C95" s="146"/>
      <c r="D95" s="146"/>
      <c r="E95" s="74"/>
      <c r="F95" s="146"/>
      <c r="G95" s="148"/>
      <c r="H95" s="72"/>
      <c r="I95" s="146"/>
      <c r="J95" s="146"/>
      <c r="K95" s="146"/>
      <c r="L95" s="146"/>
      <c r="M95" s="146"/>
      <c r="N95" s="70"/>
      <c r="O95" s="71"/>
      <c r="P95" s="146"/>
      <c r="Q95" s="70"/>
      <c r="R95" s="71"/>
      <c r="S95" s="71"/>
      <c r="T95" s="70"/>
      <c r="U95" s="146"/>
      <c r="V95" s="70"/>
      <c r="W95" s="49"/>
      <c r="X95" s="49"/>
      <c r="Y95" s="49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</row>
    <row r="96" spans="1:37" ht="15.75">
      <c r="A96" s="146"/>
      <c r="B96" s="146"/>
      <c r="C96" s="74"/>
      <c r="D96" s="146"/>
      <c r="E96" s="74"/>
      <c r="F96" s="146"/>
      <c r="G96" s="148"/>
      <c r="H96" s="72"/>
      <c r="I96" s="146"/>
      <c r="J96" s="146"/>
      <c r="K96" s="146"/>
      <c r="L96" s="146"/>
      <c r="M96" s="146"/>
      <c r="N96" s="70"/>
      <c r="O96" s="71"/>
      <c r="P96" s="146"/>
      <c r="Q96" s="70"/>
      <c r="R96" s="71"/>
      <c r="S96" s="71"/>
      <c r="T96" s="70"/>
      <c r="U96" s="146"/>
      <c r="V96" s="70"/>
      <c r="W96" s="49"/>
      <c r="X96" s="49"/>
      <c r="Y96" s="49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</row>
    <row r="97" spans="1:37" ht="15.75">
      <c r="A97" s="146"/>
      <c r="B97" s="146"/>
      <c r="C97" s="146"/>
      <c r="D97" s="146"/>
      <c r="E97" s="74"/>
      <c r="F97" s="146"/>
      <c r="G97" s="148"/>
      <c r="H97" s="72"/>
      <c r="I97" s="74"/>
      <c r="J97" s="146"/>
      <c r="K97" s="146"/>
      <c r="L97" s="146"/>
      <c r="M97" s="146"/>
      <c r="N97" s="70"/>
      <c r="O97" s="71"/>
      <c r="P97" s="146"/>
      <c r="Q97" s="70"/>
      <c r="R97" s="71"/>
      <c r="S97" s="71"/>
      <c r="T97" s="70"/>
      <c r="U97" s="146"/>
      <c r="V97" s="70"/>
      <c r="W97" s="49"/>
      <c r="X97" s="49"/>
      <c r="Y97" s="49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</row>
    <row r="98" spans="1:37" ht="15.75">
      <c r="A98" s="146"/>
      <c r="B98" s="146"/>
      <c r="C98" s="146"/>
      <c r="D98" s="148"/>
      <c r="E98" s="74"/>
      <c r="F98" s="146"/>
      <c r="G98" s="148"/>
      <c r="H98" s="72"/>
      <c r="I98" s="146"/>
      <c r="J98" s="146"/>
      <c r="K98" s="146"/>
      <c r="L98" s="146"/>
      <c r="M98" s="146"/>
      <c r="N98" s="70"/>
      <c r="O98" s="71"/>
      <c r="P98" s="146"/>
      <c r="Q98" s="70"/>
      <c r="R98" s="71"/>
      <c r="S98" s="71"/>
      <c r="T98" s="70"/>
      <c r="U98" s="146"/>
      <c r="V98" s="70"/>
      <c r="W98" s="49"/>
      <c r="X98" s="49"/>
      <c r="Y98" s="49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</row>
    <row r="99" spans="1:37" ht="15.75">
      <c r="A99" s="146"/>
      <c r="B99" s="146"/>
      <c r="C99" s="146"/>
      <c r="D99" s="148"/>
      <c r="E99" s="74"/>
      <c r="F99" s="146"/>
      <c r="G99" s="148"/>
      <c r="H99" s="72"/>
      <c r="I99" s="74"/>
      <c r="J99" s="146"/>
      <c r="K99" s="146"/>
      <c r="L99" s="146"/>
      <c r="M99" s="146"/>
      <c r="N99" s="70"/>
      <c r="O99" s="71"/>
      <c r="P99" s="146"/>
      <c r="Q99" s="70"/>
      <c r="R99" s="71"/>
      <c r="S99" s="71"/>
      <c r="T99" s="71"/>
      <c r="U99" s="146"/>
      <c r="V99" s="70"/>
      <c r="W99" s="49"/>
      <c r="X99" s="49"/>
      <c r="Y99" s="49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</row>
    <row r="100" spans="1:37" ht="15.75">
      <c r="A100" s="146"/>
      <c r="B100" s="146"/>
      <c r="C100" s="146"/>
      <c r="D100" s="148"/>
      <c r="E100" s="74"/>
      <c r="F100" s="146"/>
      <c r="G100" s="74"/>
      <c r="H100" s="74"/>
      <c r="I100" s="146"/>
      <c r="J100" s="146"/>
      <c r="K100" s="146"/>
      <c r="L100" s="146"/>
      <c r="M100" s="146"/>
      <c r="N100" s="70"/>
      <c r="O100" s="71"/>
      <c r="P100" s="146"/>
      <c r="Q100" s="70"/>
      <c r="R100" s="71"/>
      <c r="S100" s="71"/>
      <c r="T100" s="71"/>
      <c r="U100" s="146"/>
      <c r="V100" s="70"/>
      <c r="W100" s="49"/>
      <c r="X100" s="49"/>
      <c r="Y100" s="49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</row>
    <row r="101" spans="1:37" ht="15.75">
      <c r="A101" s="146"/>
      <c r="B101" s="74"/>
      <c r="C101" s="74"/>
      <c r="D101" s="74"/>
      <c r="E101" s="146"/>
      <c r="F101" s="146"/>
      <c r="G101" s="146"/>
      <c r="H101" s="146"/>
      <c r="I101" s="146"/>
      <c r="J101" s="146"/>
      <c r="K101" s="146"/>
      <c r="L101" s="146"/>
      <c r="M101" s="146"/>
      <c r="N101" s="70"/>
      <c r="O101" s="71"/>
      <c r="P101" s="146"/>
      <c r="Q101" s="70"/>
      <c r="R101" s="71"/>
      <c r="S101" s="71"/>
      <c r="T101" s="71"/>
      <c r="U101" s="146"/>
      <c r="V101" s="70"/>
      <c r="W101" s="49"/>
      <c r="X101" s="49"/>
      <c r="Y101" s="49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</row>
    <row r="102" spans="1:37" ht="15.7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70"/>
      <c r="O102" s="71"/>
      <c r="P102" s="146"/>
      <c r="Q102" s="70"/>
      <c r="R102" s="71"/>
      <c r="S102" s="71"/>
      <c r="T102" s="71"/>
      <c r="U102" s="146"/>
      <c r="V102" s="70"/>
      <c r="W102" s="49"/>
      <c r="X102" s="49"/>
      <c r="Y102" s="49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</row>
    <row r="103" spans="1:37" ht="15.75">
      <c r="A103" s="146"/>
      <c r="B103" s="146"/>
      <c r="C103" s="146"/>
      <c r="D103" s="146"/>
      <c r="E103" s="146"/>
      <c r="F103" s="74"/>
      <c r="G103" s="146"/>
      <c r="H103" s="146"/>
      <c r="I103" s="146"/>
      <c r="J103" s="146"/>
      <c r="K103" s="74"/>
      <c r="L103" s="74"/>
      <c r="M103" s="146"/>
      <c r="N103" s="70"/>
      <c r="O103" s="71"/>
      <c r="P103" s="146"/>
      <c r="Q103" s="146"/>
      <c r="R103" s="146"/>
      <c r="S103" s="146"/>
      <c r="T103" s="146"/>
      <c r="U103" s="146"/>
      <c r="V103" s="70"/>
      <c r="W103" s="49"/>
      <c r="X103" s="49"/>
      <c r="Y103" s="49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</row>
    <row r="104" spans="1:37" ht="15.75">
      <c r="A104" s="146"/>
      <c r="B104" s="149"/>
      <c r="C104" s="149"/>
      <c r="D104" s="149"/>
      <c r="E104" s="149"/>
      <c r="F104" s="74"/>
      <c r="G104" s="149"/>
      <c r="H104" s="149"/>
      <c r="I104" s="149"/>
      <c r="J104" s="149"/>
      <c r="K104" s="74"/>
      <c r="L104" s="74"/>
      <c r="M104" s="146"/>
      <c r="N104" s="70"/>
      <c r="O104" s="71"/>
      <c r="P104" s="146"/>
      <c r="Q104" s="146"/>
      <c r="R104" s="146"/>
      <c r="S104" s="146"/>
      <c r="T104" s="146"/>
      <c r="U104" s="146"/>
      <c r="V104" s="70"/>
      <c r="W104" s="49"/>
      <c r="X104" s="49"/>
      <c r="Y104" s="49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</row>
    <row r="105" spans="1:37" ht="15.75">
      <c r="A105" s="146"/>
      <c r="B105" s="146"/>
      <c r="C105" s="150"/>
      <c r="D105" s="150"/>
      <c r="E105" s="146"/>
      <c r="F105" s="74"/>
      <c r="G105" s="146"/>
      <c r="H105" s="148"/>
      <c r="I105" s="150"/>
      <c r="J105" s="146"/>
      <c r="K105" s="74"/>
      <c r="L105" s="74"/>
      <c r="M105" s="146"/>
      <c r="N105" s="70"/>
      <c r="O105" s="71"/>
      <c r="P105" s="146"/>
      <c r="Q105" s="146"/>
      <c r="R105" s="146"/>
      <c r="S105" s="146"/>
      <c r="T105" s="146"/>
      <c r="U105" s="146"/>
      <c r="V105" s="70"/>
      <c r="W105" s="49"/>
      <c r="X105" s="49"/>
      <c r="Y105" s="49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</row>
    <row r="106" spans="1:37" ht="15.75">
      <c r="A106" s="76"/>
      <c r="B106" s="146"/>
      <c r="C106" s="150"/>
      <c r="D106" s="150"/>
      <c r="E106" s="146"/>
      <c r="F106" s="74"/>
      <c r="G106" s="146"/>
      <c r="H106" s="148"/>
      <c r="I106" s="150"/>
      <c r="J106" s="146"/>
      <c r="K106" s="74"/>
      <c r="L106" s="74"/>
      <c r="M106" s="146"/>
      <c r="N106" s="70"/>
      <c r="O106" s="70"/>
      <c r="P106" s="146"/>
      <c r="Q106" s="146"/>
      <c r="R106" s="146"/>
      <c r="S106" s="146"/>
      <c r="T106" s="146"/>
      <c r="U106" s="146"/>
      <c r="V106" s="70"/>
      <c r="W106" s="49"/>
      <c r="X106" s="49"/>
      <c r="Y106" s="49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</row>
    <row r="107" spans="1:37" ht="15.75">
      <c r="A107" s="76"/>
      <c r="B107" s="146"/>
      <c r="C107" s="150"/>
      <c r="D107" s="150"/>
      <c r="E107" s="146"/>
      <c r="F107" s="74"/>
      <c r="G107" s="146"/>
      <c r="H107" s="148"/>
      <c r="I107" s="150"/>
      <c r="J107" s="146"/>
      <c r="K107" s="74"/>
      <c r="L107" s="74"/>
      <c r="M107" s="146"/>
      <c r="N107" s="70"/>
      <c r="O107" s="70"/>
      <c r="P107" s="146"/>
      <c r="Q107" s="146"/>
      <c r="R107" s="146"/>
      <c r="S107" s="146"/>
      <c r="T107" s="146"/>
      <c r="U107" s="146"/>
      <c r="V107" s="70"/>
      <c r="W107" s="49"/>
      <c r="X107" s="49"/>
      <c r="Y107" s="49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</row>
    <row r="108" spans="1:37">
      <c r="A108" s="146"/>
      <c r="B108" s="146"/>
      <c r="C108" s="150"/>
      <c r="D108" s="150"/>
      <c r="E108" s="146"/>
      <c r="F108" s="74"/>
      <c r="G108" s="146"/>
      <c r="H108" s="148"/>
      <c r="I108" s="150"/>
      <c r="J108" s="146"/>
      <c r="K108" s="74"/>
      <c r="L108" s="74"/>
      <c r="M108" s="146"/>
      <c r="N108" s="70"/>
      <c r="O108" s="70"/>
      <c r="P108" s="146"/>
      <c r="Q108" s="146"/>
      <c r="R108" s="146"/>
      <c r="S108" s="146"/>
      <c r="T108" s="146"/>
      <c r="U108" s="146"/>
      <c r="V108" s="70"/>
      <c r="W108" s="49"/>
      <c r="X108" s="49"/>
      <c r="Y108" s="49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</row>
    <row r="109" spans="1:37">
      <c r="A109" s="146"/>
      <c r="B109" s="74"/>
      <c r="C109" s="74"/>
      <c r="D109" s="74"/>
      <c r="E109" s="74"/>
      <c r="F109" s="146"/>
      <c r="G109" s="74"/>
      <c r="H109" s="74"/>
      <c r="I109" s="74"/>
      <c r="J109" s="74"/>
      <c r="K109" s="74"/>
      <c r="L109" s="146"/>
      <c r="M109" s="146"/>
      <c r="N109" s="70"/>
      <c r="O109" s="70"/>
      <c r="P109" s="146"/>
      <c r="Q109" s="146"/>
      <c r="R109" s="146"/>
      <c r="S109" s="146"/>
      <c r="T109" s="146"/>
      <c r="U109" s="146"/>
      <c r="V109" s="70"/>
      <c r="W109" s="49"/>
      <c r="X109" s="49"/>
      <c r="Y109" s="49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</row>
    <row r="110" spans="1:37" ht="15.75">
      <c r="A110" s="146"/>
      <c r="B110" s="146"/>
      <c r="C110" s="146"/>
      <c r="D110" s="146"/>
      <c r="E110" s="146"/>
      <c r="F110" s="74"/>
      <c r="G110" s="77"/>
      <c r="H110" s="77"/>
      <c r="I110" s="78"/>
      <c r="J110" s="74"/>
      <c r="K110" s="146"/>
      <c r="L110" s="146"/>
      <c r="M110" s="146"/>
      <c r="N110" s="70"/>
      <c r="O110" s="70"/>
      <c r="P110" s="146"/>
      <c r="Q110" s="146"/>
      <c r="R110" s="146"/>
      <c r="S110" s="146"/>
      <c r="T110" s="146"/>
      <c r="U110" s="146"/>
      <c r="V110" s="70"/>
      <c r="W110" s="49"/>
      <c r="X110" s="49"/>
      <c r="Y110" s="49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</row>
    <row r="111" spans="1:37" ht="15.75">
      <c r="A111" s="146"/>
      <c r="B111" s="146"/>
      <c r="C111" s="149"/>
      <c r="D111" s="149"/>
      <c r="E111" s="149"/>
      <c r="F111" s="74"/>
      <c r="G111" s="77"/>
      <c r="H111" s="70"/>
      <c r="I111" s="146"/>
      <c r="J111" s="74"/>
      <c r="K111" s="146"/>
      <c r="L111" s="146"/>
      <c r="M111" s="146"/>
      <c r="N111" s="70"/>
      <c r="O111" s="70"/>
      <c r="P111" s="146"/>
      <c r="Q111" s="146"/>
      <c r="R111" s="146"/>
      <c r="S111" s="146"/>
      <c r="T111" s="146"/>
      <c r="U111" s="146"/>
      <c r="V111" s="70"/>
      <c r="W111" s="49"/>
      <c r="X111" s="49"/>
      <c r="Y111" s="49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</row>
    <row r="112" spans="1:37">
      <c r="A112" s="146"/>
      <c r="B112" s="146"/>
      <c r="C112" s="74"/>
      <c r="D112" s="74"/>
      <c r="E112" s="146"/>
      <c r="F112" s="74"/>
      <c r="G112" s="74"/>
      <c r="H112" s="70"/>
      <c r="I112" s="79"/>
      <c r="J112" s="74"/>
      <c r="K112" s="146"/>
      <c r="L112" s="146"/>
      <c r="M112" s="146"/>
      <c r="N112" s="70"/>
      <c r="O112" s="70"/>
      <c r="P112" s="146"/>
      <c r="Q112" s="146"/>
      <c r="R112" s="146"/>
      <c r="S112" s="146"/>
      <c r="T112" s="146"/>
      <c r="U112" s="146"/>
      <c r="V112" s="70"/>
      <c r="W112" s="49"/>
      <c r="X112" s="49"/>
      <c r="Y112" s="49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</row>
    <row r="113" spans="1:37">
      <c r="A113" s="146"/>
      <c r="B113" s="146"/>
      <c r="C113" s="146"/>
      <c r="D113" s="146"/>
      <c r="E113" s="146"/>
      <c r="F113" s="74"/>
      <c r="G113" s="74"/>
      <c r="H113" s="70"/>
      <c r="I113" s="79"/>
      <c r="J113" s="74"/>
      <c r="K113" s="146"/>
      <c r="L113" s="146"/>
      <c r="M113" s="146"/>
      <c r="N113" s="70"/>
      <c r="O113" s="70"/>
      <c r="P113" s="146"/>
      <c r="Q113" s="146"/>
      <c r="R113" s="146"/>
      <c r="S113" s="146"/>
      <c r="T113" s="146"/>
      <c r="U113" s="146"/>
      <c r="V113" s="70"/>
      <c r="W113" s="49"/>
      <c r="X113" s="49"/>
      <c r="Y113" s="49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</row>
    <row r="114" spans="1:37" ht="15.75">
      <c r="A114" s="146"/>
      <c r="B114" s="146"/>
      <c r="C114" s="146"/>
      <c r="D114" s="146"/>
      <c r="E114" s="146"/>
      <c r="F114" s="74"/>
      <c r="G114" s="74"/>
      <c r="H114" s="78"/>
      <c r="I114" s="146"/>
      <c r="J114" s="74"/>
      <c r="K114" s="146"/>
      <c r="L114" s="146"/>
      <c r="M114" s="146"/>
      <c r="N114" s="70"/>
      <c r="O114" s="70"/>
      <c r="P114" s="146"/>
      <c r="Q114" s="146"/>
      <c r="R114" s="146"/>
      <c r="S114" s="146"/>
      <c r="T114" s="146"/>
      <c r="U114" s="146"/>
      <c r="V114" s="70"/>
      <c r="W114" s="49"/>
      <c r="X114" s="49"/>
      <c r="Y114" s="49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</row>
    <row r="115" spans="1:37" ht="15.75">
      <c r="A115" s="146"/>
      <c r="B115" s="146"/>
      <c r="C115" s="146"/>
      <c r="D115" s="146"/>
      <c r="E115" s="146"/>
      <c r="F115" s="74"/>
      <c r="G115" s="74"/>
      <c r="H115" s="77"/>
      <c r="I115" s="78"/>
      <c r="J115" s="74"/>
      <c r="K115" s="146"/>
      <c r="L115" s="146"/>
      <c r="M115" s="146"/>
      <c r="N115" s="70"/>
      <c r="O115" s="70"/>
      <c r="P115" s="146"/>
      <c r="Q115" s="146"/>
      <c r="R115" s="146"/>
      <c r="S115" s="146"/>
      <c r="T115" s="146"/>
      <c r="U115" s="146"/>
      <c r="V115" s="70"/>
      <c r="W115" s="49"/>
      <c r="X115" s="49"/>
      <c r="Y115" s="49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</row>
    <row r="116" spans="1:37">
      <c r="A116" s="146"/>
      <c r="B116" s="146"/>
      <c r="C116" s="146"/>
      <c r="D116" s="146"/>
      <c r="E116" s="146"/>
      <c r="F116" s="74"/>
      <c r="G116" s="74"/>
      <c r="H116" s="79"/>
      <c r="I116" s="70"/>
      <c r="J116" s="74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70"/>
      <c r="W116" s="49"/>
      <c r="X116" s="49"/>
      <c r="Y116" s="49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</row>
    <row r="117" spans="1:37" ht="15.75">
      <c r="A117" s="146"/>
      <c r="B117" s="74"/>
      <c r="C117" s="74"/>
      <c r="D117" s="74"/>
      <c r="E117" s="74"/>
      <c r="F117" s="146"/>
      <c r="G117" s="74"/>
      <c r="H117" s="79"/>
      <c r="I117" s="70"/>
      <c r="J117" s="74"/>
      <c r="K117" s="146"/>
      <c r="L117" s="146"/>
      <c r="M117" s="146"/>
      <c r="N117" s="146"/>
      <c r="O117" s="80"/>
      <c r="P117" s="146"/>
      <c r="Q117" s="146"/>
      <c r="R117" s="146"/>
      <c r="S117" s="146"/>
      <c r="T117" s="146"/>
      <c r="U117" s="146"/>
      <c r="V117" s="70"/>
      <c r="W117" s="49"/>
      <c r="X117" s="49"/>
      <c r="Y117" s="49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</row>
    <row r="118" spans="1:37" ht="15.75">
      <c r="A118" s="81"/>
      <c r="B118" s="146"/>
      <c r="C118" s="146"/>
      <c r="D118" s="146"/>
      <c r="E118" s="146"/>
      <c r="F118" s="146"/>
      <c r="G118" s="74"/>
      <c r="H118" s="79"/>
      <c r="I118" s="70"/>
      <c r="J118" s="74"/>
      <c r="K118" s="146"/>
      <c r="L118" s="146"/>
      <c r="M118" s="78"/>
      <c r="N118" s="146"/>
      <c r="O118" s="70"/>
      <c r="P118" s="146"/>
      <c r="Q118" s="146"/>
      <c r="R118" s="146"/>
      <c r="S118" s="146"/>
      <c r="T118" s="146"/>
      <c r="U118" s="146"/>
      <c r="V118" s="70"/>
      <c r="W118" s="49"/>
      <c r="X118" s="49"/>
      <c r="Y118" s="49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</row>
    <row r="119" spans="1:37" ht="15.75">
      <c r="A119" s="71"/>
      <c r="B119" s="146"/>
      <c r="C119" s="146"/>
      <c r="D119" s="146"/>
      <c r="E119" s="146"/>
      <c r="F119" s="146"/>
      <c r="G119" s="74"/>
      <c r="H119" s="146"/>
      <c r="I119" s="78"/>
      <c r="J119" s="74"/>
      <c r="K119" s="146"/>
      <c r="L119" s="146"/>
      <c r="M119" s="77"/>
      <c r="N119" s="146"/>
      <c r="O119" s="70"/>
      <c r="P119" s="146"/>
      <c r="Q119" s="146"/>
      <c r="R119" s="146"/>
      <c r="S119" s="146"/>
      <c r="T119" s="146"/>
      <c r="U119" s="146"/>
      <c r="V119" s="146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</row>
    <row r="120" spans="1:37" ht="15.75">
      <c r="A120" s="81"/>
      <c r="B120" s="149"/>
      <c r="C120" s="149"/>
      <c r="D120" s="74"/>
      <c r="E120" s="146"/>
      <c r="F120" s="146"/>
      <c r="G120" s="74"/>
      <c r="H120" s="74"/>
      <c r="I120" s="74"/>
      <c r="J120" s="146"/>
      <c r="K120" s="146"/>
      <c r="L120" s="146"/>
      <c r="M120" s="78"/>
      <c r="N120" s="70"/>
      <c r="O120" s="70"/>
      <c r="P120" s="146"/>
      <c r="Q120" s="146"/>
      <c r="R120" s="146"/>
      <c r="S120" s="146"/>
      <c r="T120" s="146"/>
      <c r="U120" s="146"/>
      <c r="V120" s="146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</row>
    <row r="121" spans="1:37" ht="15.75">
      <c r="A121" s="76"/>
      <c r="B121" s="146"/>
      <c r="C121" s="146"/>
      <c r="D121" s="74"/>
      <c r="E121" s="146"/>
      <c r="F121" s="146"/>
      <c r="G121" s="77"/>
      <c r="H121" s="77"/>
      <c r="I121" s="78"/>
      <c r="J121" s="74"/>
      <c r="K121" s="146"/>
      <c r="L121" s="146"/>
      <c r="M121" s="77"/>
      <c r="N121" s="146"/>
      <c r="O121" s="70"/>
      <c r="P121" s="146"/>
      <c r="Q121" s="146"/>
      <c r="R121" s="146"/>
      <c r="S121" s="146"/>
      <c r="T121" s="146"/>
      <c r="U121" s="146"/>
      <c r="V121" s="146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</row>
    <row r="122" spans="1:37" ht="15.75">
      <c r="A122" s="81"/>
      <c r="B122" s="146"/>
      <c r="C122" s="146"/>
      <c r="D122" s="74"/>
      <c r="E122" s="146"/>
      <c r="F122" s="146"/>
      <c r="G122" s="77"/>
      <c r="H122" s="70"/>
      <c r="I122" s="146"/>
      <c r="J122" s="74"/>
      <c r="K122" s="146"/>
      <c r="L122" s="146"/>
      <c r="M122" s="78"/>
      <c r="N122" s="70"/>
      <c r="O122" s="70"/>
      <c r="P122" s="146"/>
      <c r="Q122" s="146"/>
      <c r="R122" s="146"/>
      <c r="S122" s="146"/>
      <c r="T122" s="146"/>
      <c r="U122" s="146"/>
      <c r="V122" s="146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</row>
    <row r="123" spans="1:37">
      <c r="A123" s="146"/>
      <c r="B123" s="146"/>
      <c r="C123" s="146"/>
      <c r="D123" s="74"/>
      <c r="E123" s="146"/>
      <c r="F123" s="146"/>
      <c r="G123" s="74"/>
      <c r="H123" s="70"/>
      <c r="I123" s="79"/>
      <c r="J123" s="74"/>
      <c r="K123" s="146"/>
      <c r="L123" s="146"/>
      <c r="M123" s="146"/>
      <c r="N123" s="146"/>
      <c r="O123" s="70"/>
      <c r="P123" s="146"/>
      <c r="Q123" s="146"/>
      <c r="R123" s="146"/>
      <c r="S123" s="146"/>
      <c r="T123" s="146"/>
      <c r="U123" s="146"/>
      <c r="V123" s="146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</row>
    <row r="124" spans="1:37" ht="15.75">
      <c r="A124" s="146"/>
      <c r="B124" s="146"/>
      <c r="C124" s="146"/>
      <c r="D124" s="74"/>
      <c r="E124" s="146"/>
      <c r="F124" s="146"/>
      <c r="G124" s="74"/>
      <c r="H124" s="70"/>
      <c r="I124" s="79"/>
      <c r="J124" s="74"/>
      <c r="K124" s="146"/>
      <c r="L124" s="146"/>
      <c r="M124" s="77"/>
      <c r="N124" s="146"/>
      <c r="O124" s="70"/>
      <c r="P124" s="146"/>
      <c r="Q124" s="146"/>
      <c r="R124" s="146"/>
      <c r="S124" s="146"/>
      <c r="T124" s="146"/>
      <c r="U124" s="146"/>
      <c r="V124" s="146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</row>
    <row r="125" spans="1:37" ht="15.75">
      <c r="A125" s="146"/>
      <c r="B125" s="74"/>
      <c r="C125" s="74"/>
      <c r="D125" s="146"/>
      <c r="E125" s="146"/>
      <c r="F125" s="146"/>
      <c r="G125" s="74"/>
      <c r="H125" s="78"/>
      <c r="I125" s="146"/>
      <c r="J125" s="74"/>
      <c r="K125" s="146"/>
      <c r="L125" s="146"/>
      <c r="M125" s="77"/>
      <c r="N125" s="146"/>
      <c r="O125" s="70"/>
      <c r="P125" s="146"/>
      <c r="Q125" s="146"/>
      <c r="R125" s="146"/>
      <c r="S125" s="146"/>
      <c r="T125" s="146"/>
      <c r="U125" s="146"/>
      <c r="V125" s="146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</row>
    <row r="126" spans="1:37" ht="15.75">
      <c r="A126" s="146"/>
      <c r="B126" s="146"/>
      <c r="C126" s="146"/>
      <c r="D126" s="146"/>
      <c r="E126" s="146"/>
      <c r="F126" s="146"/>
      <c r="G126" s="74"/>
      <c r="H126" s="70"/>
      <c r="I126" s="146"/>
      <c r="J126" s="74"/>
      <c r="K126" s="146"/>
      <c r="L126" s="146"/>
      <c r="M126" s="78"/>
      <c r="N126" s="70"/>
      <c r="O126" s="70"/>
      <c r="P126" s="146"/>
      <c r="Q126" s="146"/>
      <c r="R126" s="146"/>
      <c r="S126" s="146"/>
      <c r="T126" s="146"/>
      <c r="U126" s="146"/>
      <c r="V126" s="146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</row>
    <row r="127" spans="1:37" ht="15.75">
      <c r="A127" s="146"/>
      <c r="B127" s="146"/>
      <c r="C127" s="146"/>
      <c r="D127" s="146"/>
      <c r="E127" s="146"/>
      <c r="F127" s="146"/>
      <c r="G127" s="74"/>
      <c r="H127" s="77"/>
      <c r="I127" s="78"/>
      <c r="J127" s="74"/>
      <c r="K127" s="146"/>
      <c r="L127" s="146"/>
      <c r="M127" s="77"/>
      <c r="N127" s="70"/>
      <c r="O127" s="70"/>
      <c r="P127" s="146"/>
      <c r="Q127" s="146"/>
      <c r="R127" s="146"/>
      <c r="S127" s="146"/>
      <c r="T127" s="146"/>
      <c r="U127" s="146"/>
      <c r="V127" s="146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1:37" ht="15.75">
      <c r="A128" s="146"/>
      <c r="B128" s="146"/>
      <c r="C128" s="146"/>
      <c r="D128" s="146"/>
      <c r="E128" s="146"/>
      <c r="F128" s="146"/>
      <c r="G128" s="74"/>
      <c r="H128" s="79"/>
      <c r="I128" s="70"/>
      <c r="J128" s="74"/>
      <c r="K128" s="146"/>
      <c r="L128" s="146"/>
      <c r="M128" s="78"/>
      <c r="N128" s="78"/>
      <c r="O128" s="78"/>
      <c r="P128" s="146"/>
      <c r="Q128" s="146"/>
      <c r="R128" s="146"/>
      <c r="S128" s="146"/>
      <c r="T128" s="146"/>
      <c r="U128" s="146"/>
      <c r="V128" s="146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</row>
    <row r="129" spans="1:37">
      <c r="A129" s="146"/>
      <c r="B129" s="146"/>
      <c r="C129" s="146"/>
      <c r="D129" s="146"/>
      <c r="E129" s="146"/>
      <c r="F129" s="146"/>
      <c r="G129" s="74"/>
      <c r="H129" s="79"/>
      <c r="I129" s="70"/>
      <c r="J129" s="74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</row>
    <row r="130" spans="1:37">
      <c r="A130" s="146"/>
      <c r="B130" s="146"/>
      <c r="C130" s="146"/>
      <c r="D130" s="146"/>
      <c r="E130" s="146"/>
      <c r="F130" s="146"/>
      <c r="G130" s="74"/>
      <c r="H130" s="79"/>
      <c r="I130" s="70"/>
      <c r="J130" s="74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</row>
    <row r="131" spans="1:37" ht="15.75">
      <c r="A131" s="146"/>
      <c r="B131" s="146"/>
      <c r="C131" s="146"/>
      <c r="D131" s="146"/>
      <c r="E131" s="146"/>
      <c r="F131" s="146"/>
      <c r="G131" s="74"/>
      <c r="H131" s="77"/>
      <c r="I131" s="78"/>
      <c r="J131" s="74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</row>
    <row r="132" spans="1:37">
      <c r="A132" s="146"/>
      <c r="B132" s="146"/>
      <c r="C132" s="146"/>
      <c r="D132" s="146"/>
      <c r="E132" s="146"/>
      <c r="F132" s="146"/>
      <c r="G132" s="74"/>
      <c r="H132" s="70"/>
      <c r="I132" s="74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</row>
    <row r="133" spans="1:37">
      <c r="A133" s="146"/>
      <c r="B133" s="146"/>
      <c r="C133" s="146"/>
      <c r="D133" s="146"/>
      <c r="E133" s="146"/>
      <c r="F133" s="146"/>
      <c r="G133" s="146"/>
      <c r="H133" s="70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</row>
    <row r="134" spans="1:37">
      <c r="A134" s="146"/>
      <c r="B134" s="146"/>
      <c r="C134" s="146"/>
      <c r="D134" s="146"/>
      <c r="E134" s="146"/>
      <c r="F134" s="146"/>
      <c r="G134" s="146"/>
      <c r="H134" s="70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</row>
    <row r="135" spans="1:37" ht="23.25">
      <c r="A135" s="75"/>
      <c r="B135" s="146"/>
      <c r="C135" s="146"/>
      <c r="D135" s="146"/>
      <c r="E135" s="146"/>
      <c r="F135" s="146"/>
      <c r="G135" s="146"/>
      <c r="H135" s="146"/>
      <c r="I135" s="146"/>
      <c r="J135" s="146"/>
      <c r="K135" s="74"/>
      <c r="L135" s="74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</row>
    <row r="136" spans="1:37">
      <c r="A136" s="146"/>
      <c r="B136" s="146"/>
      <c r="C136" s="146"/>
      <c r="D136" s="146"/>
      <c r="E136" s="146"/>
      <c r="F136" s="146"/>
      <c r="G136" s="149"/>
      <c r="H136" s="149"/>
      <c r="I136" s="149"/>
      <c r="J136" s="149"/>
      <c r="K136" s="74"/>
      <c r="L136" s="74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</row>
    <row r="137" spans="1:37">
      <c r="A137" s="146"/>
      <c r="B137" s="146"/>
      <c r="C137" s="146"/>
      <c r="D137" s="146"/>
      <c r="E137" s="146"/>
      <c r="F137" s="146"/>
      <c r="G137" s="146"/>
      <c r="H137" s="148"/>
      <c r="I137" s="150"/>
      <c r="J137" s="146"/>
      <c r="K137" s="74"/>
      <c r="L137" s="74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</row>
    <row r="138" spans="1:37">
      <c r="A138" s="146"/>
      <c r="B138" s="146"/>
      <c r="C138" s="146"/>
      <c r="D138" s="146"/>
      <c r="E138" s="146"/>
      <c r="F138" s="146"/>
      <c r="G138" s="146"/>
      <c r="H138" s="148"/>
      <c r="I138" s="150"/>
      <c r="J138" s="146"/>
      <c r="K138" s="74"/>
      <c r="L138" s="74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</row>
    <row r="139" spans="1:37">
      <c r="A139" s="146"/>
      <c r="B139" s="146"/>
      <c r="C139" s="146"/>
      <c r="D139" s="146"/>
      <c r="E139" s="146"/>
      <c r="F139" s="146"/>
      <c r="G139" s="146"/>
      <c r="H139" s="148"/>
      <c r="I139" s="150"/>
      <c r="J139" s="146"/>
      <c r="K139" s="74"/>
      <c r="L139" s="74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</row>
    <row r="140" spans="1:37">
      <c r="A140" s="146"/>
      <c r="B140" s="146"/>
      <c r="C140" s="146"/>
      <c r="D140" s="146"/>
      <c r="E140" s="146"/>
      <c r="F140" s="146"/>
      <c r="G140" s="146"/>
      <c r="H140" s="148"/>
      <c r="I140" s="150"/>
      <c r="J140" s="146"/>
      <c r="K140" s="74"/>
      <c r="L140" s="74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</row>
    <row r="141" spans="1:37">
      <c r="A141" s="146"/>
      <c r="B141" s="146"/>
      <c r="C141" s="146"/>
      <c r="D141" s="146"/>
      <c r="E141" s="146"/>
      <c r="F141" s="146"/>
      <c r="G141" s="74"/>
      <c r="H141" s="70"/>
      <c r="I141" s="74"/>
      <c r="J141" s="74"/>
      <c r="K141" s="74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</row>
    <row r="142" spans="1:37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74"/>
      <c r="L142" s="74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</row>
    <row r="143" spans="1:37">
      <c r="A143" s="146"/>
      <c r="B143" s="146"/>
      <c r="C143" s="146"/>
      <c r="D143" s="146"/>
      <c r="E143" s="146"/>
      <c r="F143" s="146"/>
      <c r="G143" s="149"/>
      <c r="H143" s="149"/>
      <c r="I143" s="149"/>
      <c r="J143" s="149"/>
      <c r="K143" s="74"/>
      <c r="L143" s="74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</row>
    <row r="144" spans="1:37">
      <c r="A144" s="146"/>
      <c r="B144" s="146"/>
      <c r="C144" s="146"/>
      <c r="D144" s="146"/>
      <c r="E144" s="146"/>
      <c r="F144" s="146"/>
      <c r="G144" s="146"/>
      <c r="H144" s="148"/>
      <c r="I144" s="150"/>
      <c r="J144" s="146"/>
      <c r="K144" s="74"/>
      <c r="L144" s="74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</row>
    <row r="145" spans="1:37">
      <c r="A145" s="146"/>
      <c r="B145" s="146"/>
      <c r="C145" s="146"/>
      <c r="D145" s="146"/>
      <c r="E145" s="146"/>
      <c r="F145" s="146"/>
      <c r="G145" s="146"/>
      <c r="H145" s="148"/>
      <c r="I145" s="150"/>
      <c r="J145" s="146"/>
      <c r="K145" s="74"/>
      <c r="L145" s="74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</row>
    <row r="146" spans="1:37">
      <c r="A146" s="146"/>
      <c r="B146" s="146"/>
      <c r="C146" s="146"/>
      <c r="D146" s="146"/>
      <c r="E146" s="146"/>
      <c r="F146" s="146"/>
      <c r="G146" s="146"/>
      <c r="H146" s="148"/>
      <c r="I146" s="150"/>
      <c r="J146" s="146"/>
      <c r="K146" s="74"/>
      <c r="L146" s="74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</row>
    <row r="147" spans="1:37">
      <c r="A147" s="146"/>
      <c r="B147" s="146"/>
      <c r="C147" s="146"/>
      <c r="D147" s="146"/>
      <c r="E147" s="146"/>
      <c r="F147" s="146"/>
      <c r="G147" s="146"/>
      <c r="H147" s="148"/>
      <c r="I147" s="150"/>
      <c r="J147" s="146"/>
      <c r="K147" s="74"/>
      <c r="L147" s="74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</row>
    <row r="148" spans="1:37">
      <c r="A148" s="146"/>
      <c r="B148" s="146"/>
      <c r="C148" s="146"/>
      <c r="D148" s="146"/>
      <c r="E148" s="146"/>
      <c r="F148" s="146"/>
      <c r="G148" s="74"/>
      <c r="H148" s="74"/>
      <c r="I148" s="74"/>
      <c r="J148" s="74"/>
      <c r="K148" s="74"/>
      <c r="L148" s="146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</row>
    <row r="149" spans="1:37" ht="15.7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74"/>
      <c r="L149" s="74"/>
      <c r="M149" s="50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</row>
    <row r="150" spans="1:37" ht="15.75">
      <c r="A150" s="146"/>
      <c r="B150" s="146"/>
      <c r="C150" s="146"/>
      <c r="D150" s="146"/>
      <c r="E150" s="146"/>
      <c r="F150" s="146"/>
      <c r="G150" s="149"/>
      <c r="H150" s="149"/>
      <c r="I150" s="149"/>
      <c r="J150" s="149"/>
      <c r="K150" s="74"/>
      <c r="L150" s="74"/>
      <c r="M150" s="50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</row>
    <row r="151" spans="1:37" ht="15.75">
      <c r="A151" s="146"/>
      <c r="B151" s="146"/>
      <c r="C151" s="146"/>
      <c r="D151" s="146"/>
      <c r="E151" s="146"/>
      <c r="F151" s="146"/>
      <c r="G151" s="146"/>
      <c r="H151" s="148"/>
      <c r="I151" s="150"/>
      <c r="J151" s="146"/>
      <c r="K151" s="74"/>
      <c r="L151" s="74"/>
      <c r="M151" s="50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</row>
    <row r="152" spans="1:37" ht="15.75">
      <c r="A152" s="146"/>
      <c r="B152" s="146"/>
      <c r="C152" s="146"/>
      <c r="D152" s="146"/>
      <c r="E152" s="146"/>
      <c r="F152" s="146"/>
      <c r="G152" s="146"/>
      <c r="H152" s="148"/>
      <c r="I152" s="150"/>
      <c r="J152" s="146"/>
      <c r="K152" s="74"/>
      <c r="L152" s="74"/>
      <c r="M152" s="50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</row>
    <row r="153" spans="1:37">
      <c r="A153" s="146"/>
      <c r="B153" s="146"/>
      <c r="C153" s="146"/>
      <c r="D153" s="146"/>
      <c r="E153" s="146"/>
      <c r="F153" s="146"/>
      <c r="G153" s="146"/>
      <c r="H153" s="148"/>
      <c r="I153" s="150"/>
      <c r="J153" s="146"/>
      <c r="K153" s="74"/>
      <c r="L153" s="74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</row>
    <row r="154" spans="1:37">
      <c r="A154" s="146"/>
      <c r="B154" s="146"/>
      <c r="C154" s="146"/>
      <c r="D154" s="146"/>
      <c r="E154" s="146"/>
      <c r="F154" s="146"/>
      <c r="G154" s="146"/>
      <c r="H154" s="148"/>
      <c r="I154" s="150"/>
      <c r="J154" s="146"/>
      <c r="K154" s="74"/>
      <c r="L154" s="74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</row>
    <row r="155" spans="1:37">
      <c r="A155" s="146"/>
      <c r="B155" s="146"/>
      <c r="C155" s="146"/>
      <c r="D155" s="146"/>
      <c r="E155" s="146"/>
      <c r="F155" s="146"/>
      <c r="G155" s="74"/>
      <c r="H155" s="70"/>
      <c r="I155" s="74"/>
      <c r="J155" s="74"/>
      <c r="K155" s="74"/>
      <c r="L155" s="146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</row>
    <row r="156" spans="1:37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74"/>
      <c r="L156" s="74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</row>
    <row r="157" spans="1:37">
      <c r="A157" s="146"/>
      <c r="B157" s="146"/>
      <c r="C157" s="146"/>
      <c r="D157" s="146"/>
      <c r="E157" s="146"/>
      <c r="F157" s="146"/>
      <c r="G157" s="149"/>
      <c r="H157" s="149"/>
      <c r="I157" s="149"/>
      <c r="J157" s="149"/>
      <c r="K157" s="74"/>
      <c r="L157" s="74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</row>
    <row r="158" spans="1:37">
      <c r="A158" s="146"/>
      <c r="B158" s="146"/>
      <c r="C158" s="146"/>
      <c r="D158" s="146"/>
      <c r="E158" s="146"/>
      <c r="F158" s="146"/>
      <c r="G158" s="146"/>
      <c r="H158" s="148"/>
      <c r="I158" s="150"/>
      <c r="J158" s="146"/>
      <c r="K158" s="74"/>
      <c r="L158" s="74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</row>
    <row r="159" spans="1:37">
      <c r="A159" s="146"/>
      <c r="B159" s="146"/>
      <c r="C159" s="146"/>
      <c r="D159" s="146"/>
      <c r="E159" s="146"/>
      <c r="F159" s="146"/>
      <c r="G159" s="146"/>
      <c r="H159" s="148"/>
      <c r="I159" s="150"/>
      <c r="J159" s="146"/>
      <c r="K159" s="74"/>
      <c r="L159" s="74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</row>
    <row r="160" spans="1:37">
      <c r="A160" s="146"/>
      <c r="B160" s="146"/>
      <c r="C160" s="146"/>
      <c r="D160" s="146"/>
      <c r="E160" s="146"/>
      <c r="F160" s="146"/>
      <c r="G160" s="146"/>
      <c r="H160" s="148"/>
      <c r="I160" s="150"/>
      <c r="J160" s="146"/>
      <c r="K160" s="74"/>
      <c r="L160" s="74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</row>
    <row r="161" spans="1:37">
      <c r="A161" s="146"/>
      <c r="B161" s="146"/>
      <c r="C161" s="146"/>
      <c r="D161" s="146"/>
      <c r="E161" s="146"/>
      <c r="F161" s="146"/>
      <c r="G161" s="146"/>
      <c r="H161" s="148"/>
      <c r="I161" s="150"/>
      <c r="J161" s="146"/>
      <c r="K161" s="74"/>
      <c r="L161" s="74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</row>
    <row r="162" spans="1:37">
      <c r="A162" s="146"/>
      <c r="B162" s="146"/>
      <c r="C162" s="146"/>
      <c r="D162" s="146"/>
      <c r="E162" s="146"/>
      <c r="F162" s="146"/>
      <c r="G162" s="74"/>
      <c r="H162" s="74"/>
      <c r="I162" s="74"/>
      <c r="J162" s="74"/>
      <c r="K162" s="74"/>
      <c r="L162" s="146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</row>
    <row r="163" spans="1:37" ht="15.75">
      <c r="A163" s="146"/>
      <c r="B163" s="146"/>
      <c r="C163" s="78"/>
      <c r="D163" s="77"/>
      <c r="E163" s="146"/>
      <c r="F163" s="146"/>
      <c r="G163" s="82"/>
      <c r="H163" s="146"/>
      <c r="I163" s="146"/>
      <c r="J163" s="146"/>
      <c r="K163" s="146"/>
      <c r="L163" s="146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</row>
    <row r="164" spans="1:37" ht="15.75">
      <c r="A164" s="146"/>
      <c r="B164" s="146"/>
      <c r="C164" s="77"/>
      <c r="D164" s="77"/>
      <c r="E164" s="146"/>
      <c r="F164" s="146"/>
      <c r="G164" s="82"/>
      <c r="H164" s="146"/>
      <c r="I164" s="146"/>
      <c r="J164" s="146"/>
      <c r="K164" s="146"/>
      <c r="L164" s="146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</row>
    <row r="165" spans="1:37" ht="15.75">
      <c r="A165" s="146"/>
      <c r="B165" s="149"/>
      <c r="C165" s="83"/>
      <c r="D165" s="77"/>
      <c r="E165" s="146"/>
      <c r="F165" s="146"/>
      <c r="G165" s="146"/>
      <c r="H165" s="148"/>
      <c r="I165" s="146"/>
      <c r="J165" s="146"/>
      <c r="K165" s="146"/>
      <c r="L165" s="146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</row>
    <row r="166" spans="1:37" ht="15.75">
      <c r="A166" s="146"/>
      <c r="B166" s="149"/>
      <c r="C166" s="83"/>
      <c r="D166" s="77"/>
      <c r="E166" s="146"/>
      <c r="F166" s="146"/>
      <c r="G166" s="146"/>
      <c r="H166" s="151"/>
      <c r="I166" s="146"/>
      <c r="J166" s="146"/>
      <c r="K166" s="146"/>
      <c r="L166" s="146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</row>
    <row r="167" spans="1:37" ht="15.75">
      <c r="A167" s="146"/>
      <c r="B167" s="146"/>
      <c r="C167" s="146"/>
      <c r="D167" s="77"/>
      <c r="E167" s="146"/>
      <c r="F167" s="146"/>
      <c r="G167" s="146"/>
      <c r="H167" s="146"/>
      <c r="I167" s="146"/>
      <c r="J167" s="146"/>
      <c r="K167" s="146"/>
      <c r="L167" s="146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</row>
    <row r="168" spans="1:37" ht="15.75">
      <c r="A168" s="146"/>
      <c r="B168" s="146"/>
      <c r="C168" s="83"/>
      <c r="D168" s="77"/>
      <c r="E168" s="146"/>
      <c r="F168" s="146"/>
      <c r="G168" s="146"/>
      <c r="H168" s="84"/>
      <c r="I168" s="146"/>
      <c r="J168" s="146"/>
      <c r="K168" s="146"/>
      <c r="L168" s="146"/>
    </row>
    <row r="169" spans="1:37" ht="15.75">
      <c r="A169" s="146"/>
      <c r="B169" s="146"/>
      <c r="C169" s="83"/>
      <c r="D169" s="77"/>
      <c r="E169" s="76"/>
      <c r="F169" s="146"/>
      <c r="G169" s="146"/>
      <c r="H169" s="152"/>
      <c r="I169" s="146"/>
      <c r="J169" s="146"/>
      <c r="K169" s="146"/>
      <c r="L169" s="146"/>
    </row>
    <row r="170" spans="1:37" ht="15.75">
      <c r="A170" s="146"/>
      <c r="B170" s="146"/>
      <c r="C170" s="85"/>
      <c r="D170" s="77"/>
      <c r="E170" s="146"/>
      <c r="F170" s="146"/>
      <c r="G170" s="146"/>
      <c r="H170" s="148"/>
      <c r="I170" s="146"/>
      <c r="J170" s="146"/>
      <c r="K170" s="146"/>
      <c r="L170" s="146"/>
    </row>
    <row r="171" spans="1:37" ht="15.75">
      <c r="A171" s="146"/>
      <c r="B171" s="146"/>
      <c r="C171" s="83"/>
      <c r="D171" s="77"/>
      <c r="E171" s="146"/>
      <c r="F171" s="146"/>
      <c r="G171" s="146"/>
      <c r="H171" s="148"/>
      <c r="I171" s="146"/>
      <c r="J171" s="146"/>
      <c r="K171" s="146"/>
      <c r="L171" s="146"/>
    </row>
    <row r="172" spans="1:37" ht="15.75">
      <c r="A172" s="146"/>
      <c r="B172" s="146"/>
      <c r="C172" s="83"/>
      <c r="D172" s="77"/>
      <c r="E172" s="146"/>
      <c r="F172" s="146"/>
      <c r="G172" s="146"/>
      <c r="H172" s="148"/>
      <c r="I172" s="146"/>
      <c r="J172" s="146"/>
      <c r="K172" s="146"/>
      <c r="L172" s="146"/>
    </row>
    <row r="173" spans="1:37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1:37" ht="15.75">
      <c r="A174" s="146"/>
      <c r="B174" s="7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1:37" ht="15.75">
      <c r="A175" s="76"/>
      <c r="B175" s="146"/>
      <c r="C175" s="146"/>
      <c r="D175" s="146"/>
      <c r="E175" s="146"/>
      <c r="F175" s="146"/>
      <c r="G175" s="82"/>
      <c r="H175" s="146"/>
      <c r="I175" s="146"/>
      <c r="J175" s="146"/>
      <c r="K175" s="146"/>
      <c r="L175" s="146"/>
    </row>
    <row r="176" spans="1:37" ht="15.75">
      <c r="A176" s="76"/>
      <c r="B176" s="146"/>
      <c r="C176" s="146"/>
      <c r="D176" s="146"/>
      <c r="E176" s="146"/>
      <c r="F176" s="146"/>
      <c r="G176" s="82"/>
      <c r="H176" s="146"/>
      <c r="I176" s="146"/>
      <c r="J176" s="146"/>
      <c r="K176" s="146"/>
      <c r="L176" s="146"/>
    </row>
    <row r="177" spans="1:12" ht="15.75">
      <c r="A177" s="76"/>
      <c r="B177" s="146"/>
      <c r="C177" s="146"/>
      <c r="D177" s="146"/>
      <c r="E177" s="146"/>
      <c r="F177" s="146"/>
      <c r="G177" s="82"/>
      <c r="H177" s="146"/>
      <c r="I177" s="146"/>
      <c r="J177" s="146"/>
      <c r="K177" s="146"/>
      <c r="L177" s="146"/>
    </row>
    <row r="178" spans="1:12" ht="15.75">
      <c r="A178" s="76"/>
      <c r="B178" s="146"/>
      <c r="C178" s="146"/>
      <c r="D178" s="146"/>
      <c r="E178" s="146"/>
      <c r="F178" s="146"/>
      <c r="G178" s="146"/>
      <c r="H178" s="148"/>
      <c r="I178" s="146"/>
      <c r="J178" s="146"/>
      <c r="K178" s="146"/>
      <c r="L178" s="146"/>
    </row>
    <row r="179" spans="1:12" ht="15.75">
      <c r="A179" s="76"/>
      <c r="B179" s="146"/>
      <c r="C179" s="146"/>
      <c r="D179" s="146"/>
      <c r="E179" s="146"/>
      <c r="F179" s="146"/>
      <c r="G179" s="146"/>
      <c r="H179" s="151"/>
      <c r="I179" s="146"/>
      <c r="J179" s="146"/>
      <c r="K179" s="146"/>
      <c r="L179" s="146"/>
    </row>
    <row r="180" spans="1:12" ht="15.75">
      <c r="A180" s="7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1:12">
      <c r="A181" s="146"/>
      <c r="B181" s="146"/>
      <c r="C181" s="146"/>
      <c r="D181" s="146"/>
      <c r="E181" s="146"/>
      <c r="F181" s="146"/>
      <c r="G181" s="146"/>
      <c r="H181" s="84"/>
      <c r="I181" s="146"/>
      <c r="J181" s="146"/>
      <c r="K181" s="146"/>
      <c r="L181" s="146"/>
    </row>
    <row r="182" spans="1:12">
      <c r="A182" s="146"/>
      <c r="B182" s="146"/>
      <c r="C182" s="146"/>
      <c r="D182" s="146"/>
      <c r="E182" s="146"/>
      <c r="F182" s="146"/>
      <c r="G182" s="146"/>
      <c r="H182" s="152"/>
      <c r="I182" s="146"/>
      <c r="J182" s="146"/>
      <c r="K182" s="146"/>
      <c r="L182" s="146"/>
    </row>
    <row r="183" spans="1:12">
      <c r="A183" s="146"/>
      <c r="B183" s="146"/>
      <c r="C183" s="146"/>
      <c r="D183" s="146"/>
      <c r="E183" s="146"/>
      <c r="F183" s="146"/>
      <c r="G183" s="146"/>
      <c r="H183" s="84"/>
      <c r="I183" s="146"/>
      <c r="J183" s="146"/>
      <c r="K183" s="146"/>
      <c r="L183" s="146"/>
    </row>
    <row r="184" spans="1:12">
      <c r="A184" s="146"/>
      <c r="B184" s="146"/>
      <c r="C184" s="146"/>
      <c r="D184" s="146"/>
      <c r="E184" s="146"/>
      <c r="F184" s="146"/>
      <c r="G184" s="146"/>
      <c r="H184" s="84"/>
      <c r="I184" s="146"/>
      <c r="J184" s="146"/>
      <c r="K184" s="146"/>
      <c r="L184" s="146"/>
    </row>
    <row r="185" spans="1:12">
      <c r="A185" s="146"/>
      <c r="B185" s="146"/>
      <c r="C185" s="146"/>
      <c r="D185" s="146"/>
      <c r="E185" s="146"/>
      <c r="F185" s="146"/>
      <c r="G185" s="146"/>
      <c r="H185" s="152"/>
      <c r="I185" s="146"/>
      <c r="J185" s="146"/>
      <c r="K185" s="146"/>
      <c r="L185" s="146"/>
    </row>
    <row r="186" spans="1:1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1:1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1:1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1:1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1:1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1:1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1:1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1:1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1:1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1:1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1:1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1:1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1:1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1:1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1:1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1:1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1:1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1:1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1:1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1:1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1:1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1:1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1:1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1:1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1:1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1:1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1:1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1:1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1:1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1:1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1:1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1:1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1:1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</sheetData>
  <printOptions horizontalCentered="1"/>
  <pageMargins left="0.2" right="0.2" top="0.25" bottom="0.25" header="0" footer="0"/>
  <pageSetup scale="53" orientation="landscape" r:id="rId1"/>
  <headerFooter alignWithMargins="0">
    <oddFooter>&amp;R&amp;8&amp;D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C33F-BB86-41F4-8AC2-FC24F573B5BF}">
  <dimension ref="A1:P72"/>
  <sheetViews>
    <sheetView showOutlineSymbols="0" view="pageBreakPreview" zoomScale="90" zoomScaleNormal="90" zoomScaleSheetLayoutView="90" workbookViewId="0">
      <selection activeCell="H11" sqref="H11"/>
    </sheetView>
  </sheetViews>
  <sheetFormatPr defaultColWidth="9.6640625" defaultRowHeight="19.5"/>
  <cols>
    <col min="1" max="1" width="20.77734375" style="280" customWidth="1"/>
    <col min="2" max="2" width="2" style="280" customWidth="1"/>
    <col min="3" max="3" width="20.77734375" style="280" customWidth="1"/>
    <col min="4" max="4" width="2" style="280" customWidth="1"/>
    <col min="5" max="6" width="20.77734375" style="280" customWidth="1"/>
    <col min="7" max="7" width="2" style="280" customWidth="1"/>
    <col min="8" max="8" width="20.77734375" style="280" customWidth="1"/>
    <col min="9" max="9" width="2" style="280" customWidth="1"/>
    <col min="10" max="10" width="20.77734375" style="280" customWidth="1"/>
    <col min="11" max="11" width="15.109375" style="280" customWidth="1"/>
    <col min="12" max="12" width="16.77734375" style="280" customWidth="1"/>
    <col min="13" max="257" width="9.6640625" style="280" customWidth="1"/>
    <col min="258" max="16384" width="9.6640625" style="280"/>
  </cols>
  <sheetData>
    <row r="1" spans="1:14" ht="36">
      <c r="A1" s="434" t="s">
        <v>65</v>
      </c>
      <c r="B1" s="362"/>
      <c r="C1" s="279"/>
      <c r="D1" s="279"/>
      <c r="E1" s="279"/>
      <c r="F1" s="362"/>
      <c r="G1" s="362"/>
      <c r="H1" s="362"/>
      <c r="I1" s="362"/>
      <c r="J1" s="362"/>
      <c r="K1" s="398"/>
    </row>
    <row r="2" spans="1:14" ht="32.25">
      <c r="A2" s="435" t="s">
        <v>8</v>
      </c>
      <c r="B2" s="362"/>
      <c r="C2" s="279"/>
      <c r="D2" s="279"/>
      <c r="E2" s="279"/>
      <c r="F2" s="362"/>
      <c r="G2" s="362"/>
      <c r="H2" s="362"/>
      <c r="I2" s="362"/>
      <c r="J2" s="362"/>
      <c r="K2" s="398"/>
    </row>
    <row r="3" spans="1:14" ht="28.5">
      <c r="A3" s="399" t="s">
        <v>179</v>
      </c>
      <c r="B3" s="362"/>
      <c r="C3" s="279"/>
      <c r="D3" s="279"/>
      <c r="E3" s="279"/>
      <c r="F3" s="362"/>
      <c r="G3" s="362"/>
      <c r="H3" s="362"/>
      <c r="I3" s="362"/>
      <c r="J3" s="362"/>
      <c r="K3" s="398"/>
    </row>
    <row r="4" spans="1:14" ht="27.6" customHeight="1">
      <c r="A4" s="399" t="s">
        <v>158</v>
      </c>
      <c r="B4" s="362"/>
      <c r="C4" s="279"/>
      <c r="D4" s="279"/>
      <c r="E4" s="279"/>
      <c r="F4" s="362"/>
      <c r="G4" s="362"/>
      <c r="H4" s="362"/>
      <c r="I4" s="362"/>
      <c r="J4" s="362"/>
      <c r="K4" s="398"/>
    </row>
    <row r="5" spans="1:14" ht="20.45" customHeight="1">
      <c r="C5" s="398"/>
      <c r="D5" s="398"/>
      <c r="E5" s="398"/>
      <c r="F5" s="398"/>
      <c r="G5" s="398"/>
      <c r="H5" s="398"/>
      <c r="I5" s="398"/>
      <c r="J5" s="398"/>
      <c r="K5" s="398"/>
    </row>
    <row r="6" spans="1:14" ht="19.5" customHeight="1">
      <c r="A6" s="436" t="s">
        <v>151</v>
      </c>
      <c r="B6" s="362"/>
      <c r="C6" s="362"/>
      <c r="D6" s="362"/>
      <c r="E6" s="362"/>
      <c r="F6" s="362"/>
      <c r="G6" s="362"/>
      <c r="H6" s="362"/>
      <c r="I6" s="362"/>
      <c r="J6" s="362"/>
      <c r="K6" s="398"/>
    </row>
    <row r="7" spans="1:14" ht="19.5" customHeight="1">
      <c r="A7" s="436"/>
      <c r="B7" s="362"/>
      <c r="C7" s="362"/>
      <c r="D7" s="362"/>
      <c r="E7" s="362"/>
      <c r="F7" s="362"/>
      <c r="G7" s="362"/>
      <c r="H7" s="362"/>
      <c r="I7" s="362"/>
      <c r="J7" s="362"/>
      <c r="K7" s="398"/>
    </row>
    <row r="8" spans="1:14" ht="19.5" customHeight="1">
      <c r="A8" s="436"/>
      <c r="B8" s="362"/>
      <c r="C8" s="362"/>
      <c r="D8" s="362"/>
      <c r="E8" s="362"/>
      <c r="F8" s="362"/>
      <c r="G8" s="362"/>
      <c r="H8" s="362"/>
      <c r="I8" s="362"/>
      <c r="J8" s="362"/>
      <c r="K8" s="398"/>
    </row>
    <row r="9" spans="1:14" ht="19.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14" ht="19.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</row>
    <row r="11" spans="1:14" ht="18.75" customHeight="1">
      <c r="B11" s="398"/>
      <c r="F11" s="400" t="s">
        <v>146</v>
      </c>
    </row>
    <row r="12" spans="1:14" ht="18.75" customHeight="1"/>
    <row r="13" spans="1:14" ht="18.75" customHeight="1"/>
    <row r="14" spans="1:14" ht="18.75" customHeight="1"/>
    <row r="15" spans="1:14" ht="18.75" customHeight="1"/>
    <row r="16" spans="1:14" ht="39.75" customHeight="1" thickBot="1">
      <c r="F16" s="402" t="s">
        <v>170</v>
      </c>
      <c r="G16" s="403"/>
      <c r="H16" s="404" t="s">
        <v>168</v>
      </c>
      <c r="I16" s="405"/>
      <c r="J16" s="402" t="s">
        <v>74</v>
      </c>
    </row>
    <row r="17" spans="1:11" ht="18.75" customHeight="1">
      <c r="F17" s="406"/>
      <c r="G17" s="406"/>
      <c r="H17" s="407"/>
      <c r="I17" s="407"/>
      <c r="J17" s="408"/>
    </row>
    <row r="18" spans="1:11" ht="19.5" customHeight="1">
      <c r="F18" s="409" t="s">
        <v>171</v>
      </c>
      <c r="H18" s="410">
        <v>110861613</v>
      </c>
      <c r="I18" s="411"/>
      <c r="J18" s="412">
        <v>0.60219427688883265</v>
      </c>
    </row>
    <row r="19" spans="1:11" ht="19.5" customHeight="1">
      <c r="F19" s="409" t="s">
        <v>172</v>
      </c>
      <c r="H19" s="413">
        <v>25982461</v>
      </c>
      <c r="I19" s="414"/>
      <c r="J19" s="412">
        <v>0.14113532078671176</v>
      </c>
    </row>
    <row r="20" spans="1:11" ht="19.5" customHeight="1">
      <c r="F20" s="409" t="s">
        <v>180</v>
      </c>
      <c r="H20" s="413">
        <v>41612382</v>
      </c>
      <c r="I20" s="414"/>
      <c r="J20" s="412">
        <v>0.22603620504882851</v>
      </c>
    </row>
    <row r="21" spans="1:11" ht="19.5" customHeight="1">
      <c r="F21" s="409" t="s">
        <v>174</v>
      </c>
      <c r="H21" s="413">
        <v>2355768</v>
      </c>
      <c r="I21" s="414"/>
      <c r="J21" s="412">
        <v>1.2796404173533461E-2</v>
      </c>
    </row>
    <row r="22" spans="1:11" ht="19.5" customHeight="1">
      <c r="F22" s="409" t="s">
        <v>175</v>
      </c>
      <c r="H22" s="413">
        <v>3283868</v>
      </c>
      <c r="I22" s="414"/>
      <c r="J22" s="412">
        <v>1.793779310209366E-2</v>
      </c>
    </row>
    <row r="23" spans="1:11" ht="18.75" customHeight="1" thickBot="1">
      <c r="H23" s="414"/>
      <c r="I23" s="414"/>
      <c r="J23" s="415"/>
    </row>
    <row r="24" spans="1:11" ht="20.25" customHeight="1" thickBot="1">
      <c r="F24" s="416" t="s">
        <v>167</v>
      </c>
      <c r="G24" s="398"/>
      <c r="H24" s="417">
        <v>184096092</v>
      </c>
      <c r="I24" s="418"/>
      <c r="J24" s="419">
        <v>1</v>
      </c>
      <c r="K24" s="411"/>
    </row>
    <row r="25" spans="1:11" ht="18.75" customHeight="1" thickTop="1"/>
    <row r="26" spans="1:11" ht="18.75" customHeight="1"/>
    <row r="27" spans="1:11" ht="18.75" customHeight="1"/>
    <row r="28" spans="1:11" ht="18.75" customHeight="1"/>
    <row r="29" spans="1:11">
      <c r="F29" s="398"/>
      <c r="G29" s="398"/>
    </row>
    <row r="31" spans="1:11">
      <c r="F31" s="400"/>
    </row>
    <row r="32" spans="1:11">
      <c r="A32" s="400" t="s">
        <v>153</v>
      </c>
    </row>
    <row r="35" spans="1:16" ht="39.75" customHeight="1" thickBot="1">
      <c r="A35" s="402" t="s">
        <v>170</v>
      </c>
      <c r="B35" s="403"/>
      <c r="C35" s="404" t="s">
        <v>154</v>
      </c>
      <c r="D35" s="405"/>
      <c r="E35" s="402" t="s">
        <v>74</v>
      </c>
    </row>
    <row r="36" spans="1:16">
      <c r="A36" s="406"/>
      <c r="B36" s="406"/>
      <c r="C36" s="407"/>
      <c r="D36" s="407"/>
      <c r="E36" s="408"/>
    </row>
    <row r="37" spans="1:16">
      <c r="A37" s="409" t="s">
        <v>171</v>
      </c>
      <c r="C37" s="410">
        <v>115123059</v>
      </c>
      <c r="D37" s="411"/>
      <c r="E37" s="412">
        <v>0.59912557884378093</v>
      </c>
    </row>
    <row r="38" spans="1:16">
      <c r="A38" s="409" t="s">
        <v>172</v>
      </c>
      <c r="C38" s="413">
        <v>26574971</v>
      </c>
      <c r="D38" s="414"/>
      <c r="E38" s="412">
        <v>0.13830196158296743</v>
      </c>
    </row>
    <row r="39" spans="1:16">
      <c r="A39" s="409" t="s">
        <v>173</v>
      </c>
      <c r="C39" s="413">
        <v>44815629</v>
      </c>
      <c r="D39" s="414"/>
      <c r="E39" s="412">
        <v>0.23333033542631224</v>
      </c>
    </row>
    <row r="40" spans="1:16">
      <c r="A40" s="409" t="s">
        <v>174</v>
      </c>
      <c r="C40" s="413">
        <v>2535102</v>
      </c>
      <c r="D40" s="414"/>
      <c r="E40" s="412">
        <v>1.3193225287542321E-2</v>
      </c>
    </row>
    <row r="41" spans="1:16">
      <c r="A41" s="409" t="s">
        <v>175</v>
      </c>
      <c r="C41" s="413">
        <v>3103040</v>
      </c>
      <c r="D41" s="414"/>
      <c r="E41" s="412">
        <v>1.6148898859397107E-2</v>
      </c>
    </row>
    <row r="42" spans="1:16" ht="20.25" thickBot="1">
      <c r="C42" s="414"/>
      <c r="D42" s="414"/>
      <c r="E42" s="415"/>
      <c r="K42" s="401"/>
      <c r="L42" s="401"/>
    </row>
    <row r="43" spans="1:16" ht="20.25" thickBot="1">
      <c r="A43" s="416" t="s">
        <v>167</v>
      </c>
      <c r="B43" s="398"/>
      <c r="C43" s="417">
        <v>192151801</v>
      </c>
      <c r="D43" s="418"/>
      <c r="E43" s="419">
        <v>1</v>
      </c>
      <c r="K43" s="411"/>
      <c r="L43" s="411"/>
    </row>
    <row r="44" spans="1:16" ht="20.25" thickTop="1">
      <c r="K44" s="415"/>
      <c r="L44" s="415"/>
    </row>
    <row r="45" spans="1:16" ht="18.75" customHeight="1">
      <c r="N45" s="421"/>
      <c r="O45" s="422"/>
      <c r="P45" s="422"/>
    </row>
    <row r="46" spans="1:16" ht="18.75" customHeight="1">
      <c r="N46" s="421"/>
      <c r="O46" s="422"/>
      <c r="P46" s="422"/>
    </row>
    <row r="47" spans="1:16" ht="18.75" customHeight="1"/>
    <row r="48" spans="1:16" ht="18.75" customHeight="1">
      <c r="N48" s="421"/>
    </row>
    <row r="49" spans="3:13" ht="18.75" customHeight="1"/>
    <row r="50" spans="3:13" ht="18.75" customHeight="1"/>
    <row r="51" spans="3:13" ht="18.75" customHeight="1"/>
    <row r="52" spans="3:13" ht="18.75" customHeight="1"/>
    <row r="53" spans="3:13" ht="18.75" customHeight="1"/>
    <row r="54" spans="3:13" ht="14.1" customHeight="1"/>
    <row r="55" spans="3:13">
      <c r="C55" s="592"/>
      <c r="D55" s="592"/>
      <c r="E55" s="592"/>
      <c r="F55" s="593"/>
      <c r="G55" s="593"/>
      <c r="H55" s="592"/>
    </row>
    <row r="56" spans="3:13" ht="14.25" customHeight="1">
      <c r="C56" s="594" t="s">
        <v>159</v>
      </c>
      <c r="D56" s="594"/>
      <c r="E56" s="594"/>
      <c r="F56" s="595" t="str">
        <f>H16</f>
        <v>FY '23 Budget 
(As Amended)</v>
      </c>
      <c r="G56" s="595"/>
      <c r="H56" s="596" t="s">
        <v>74</v>
      </c>
      <c r="I56" s="590"/>
      <c r="J56" s="590"/>
    </row>
    <row r="57" spans="3:13">
      <c r="C57" s="594" t="s">
        <v>171</v>
      </c>
      <c r="D57" s="594"/>
      <c r="E57" s="594"/>
      <c r="F57" s="597">
        <f>H18</f>
        <v>110861613</v>
      </c>
      <c r="G57" s="597"/>
      <c r="H57" s="598">
        <f>F57/$F$62</f>
        <v>0.60219427688883265</v>
      </c>
      <c r="I57" s="591"/>
      <c r="J57" s="591">
        <f>ROUND(H57,4)</f>
        <v>0.60219999999999996</v>
      </c>
    </row>
    <row r="58" spans="3:13">
      <c r="C58" s="594" t="s">
        <v>172</v>
      </c>
      <c r="D58" s="594"/>
      <c r="E58" s="594"/>
      <c r="F58" s="597">
        <f>H19</f>
        <v>25982461</v>
      </c>
      <c r="G58" s="599"/>
      <c r="H58" s="600">
        <f t="shared" ref="H58:H60" si="0">F58/$F$62</f>
        <v>0.14113532078671176</v>
      </c>
      <c r="I58" s="591"/>
      <c r="J58" s="591">
        <f t="shared" ref="J58:J60" si="1">ROUND(H58,4)</f>
        <v>0.1411</v>
      </c>
    </row>
    <row r="59" spans="3:13">
      <c r="C59" s="594" t="s">
        <v>180</v>
      </c>
      <c r="D59" s="594"/>
      <c r="E59" s="594"/>
      <c r="F59" s="597">
        <f>H20</f>
        <v>41612382</v>
      </c>
      <c r="G59" s="599"/>
      <c r="H59" s="600">
        <f t="shared" si="0"/>
        <v>0.22603620504882851</v>
      </c>
      <c r="I59" s="591"/>
      <c r="J59" s="591">
        <f t="shared" si="1"/>
        <v>0.22600000000000001</v>
      </c>
      <c r="M59" s="437"/>
    </row>
    <row r="60" spans="3:13">
      <c r="C60" s="594" t="s">
        <v>174</v>
      </c>
      <c r="D60" s="594"/>
      <c r="E60" s="594"/>
      <c r="F60" s="597">
        <f>H21</f>
        <v>2355768</v>
      </c>
      <c r="G60" s="599"/>
      <c r="H60" s="600">
        <f t="shared" si="0"/>
        <v>1.2796404173533461E-2</v>
      </c>
      <c r="I60" s="591"/>
      <c r="J60" s="591">
        <f t="shared" si="1"/>
        <v>1.2800000000000001E-2</v>
      </c>
      <c r="L60" s="438"/>
    </row>
    <row r="61" spans="3:13">
      <c r="C61" s="594" t="s">
        <v>175</v>
      </c>
      <c r="D61" s="594"/>
      <c r="E61" s="594"/>
      <c r="F61" s="597">
        <f>H22</f>
        <v>3283868</v>
      </c>
      <c r="G61" s="599"/>
      <c r="H61" s="600">
        <f>(F61/$F$62)+0.0001</f>
        <v>1.793779310209366E-2</v>
      </c>
      <c r="I61" s="591"/>
      <c r="J61" s="591">
        <f>ROUND(H61,4)</f>
        <v>1.7899999999999999E-2</v>
      </c>
    </row>
    <row r="62" spans="3:13">
      <c r="C62" s="594" t="s">
        <v>167</v>
      </c>
      <c r="D62" s="594"/>
      <c r="E62" s="594"/>
      <c r="F62" s="597">
        <f>H24</f>
        <v>184096092</v>
      </c>
      <c r="G62" s="597"/>
      <c r="H62" s="600">
        <f>SUM(H57:H61)-0.0001</f>
        <v>1</v>
      </c>
      <c r="I62" s="591"/>
      <c r="J62" s="591">
        <f>SUM(J57:J61)</f>
        <v>1</v>
      </c>
    </row>
    <row r="63" spans="3:13">
      <c r="C63" s="594"/>
      <c r="D63" s="594"/>
      <c r="E63" s="594"/>
      <c r="F63" s="594"/>
      <c r="G63" s="594"/>
      <c r="H63" s="594"/>
      <c r="I63" s="590"/>
      <c r="J63" s="590"/>
    </row>
    <row r="64" spans="3:13">
      <c r="C64" s="594"/>
      <c r="D64" s="594"/>
      <c r="E64" s="594"/>
      <c r="F64" s="594"/>
      <c r="G64" s="594"/>
      <c r="H64" s="594"/>
      <c r="I64" s="590"/>
      <c r="J64" s="590"/>
    </row>
    <row r="65" spans="3:10">
      <c r="C65" s="594" t="s">
        <v>159</v>
      </c>
      <c r="D65" s="594"/>
      <c r="E65" s="594"/>
      <c r="F65" s="596" t="str">
        <f>C35</f>
        <v>FY '24 Budget</v>
      </c>
      <c r="G65" s="596"/>
      <c r="H65" s="596" t="s">
        <v>74</v>
      </c>
      <c r="I65" s="590"/>
      <c r="J65" s="590"/>
    </row>
    <row r="66" spans="3:10">
      <c r="C66" s="594" t="s">
        <v>171</v>
      </c>
      <c r="D66" s="594"/>
      <c r="E66" s="594"/>
      <c r="F66" s="597">
        <f>+C37</f>
        <v>115123059</v>
      </c>
      <c r="G66" s="597"/>
      <c r="H66" s="600">
        <f>+E37</f>
        <v>0.59912557884378093</v>
      </c>
      <c r="I66" s="591"/>
      <c r="J66" s="591">
        <f>ROUND(H66,4)</f>
        <v>0.59909999999999997</v>
      </c>
    </row>
    <row r="67" spans="3:10">
      <c r="C67" s="594" t="s">
        <v>172</v>
      </c>
      <c r="D67" s="594"/>
      <c r="E67" s="594"/>
      <c r="F67" s="597">
        <f t="shared" ref="F67:F70" si="2">+C38</f>
        <v>26574971</v>
      </c>
      <c r="G67" s="599"/>
      <c r="H67" s="600">
        <f t="shared" ref="H67:H70" si="3">+E38</f>
        <v>0.13830196158296743</v>
      </c>
      <c r="I67" s="591"/>
      <c r="J67" s="591">
        <f t="shared" ref="J67:J70" si="4">ROUND(H67,4)</f>
        <v>0.13830000000000001</v>
      </c>
    </row>
    <row r="68" spans="3:10">
      <c r="C68" s="594" t="s">
        <v>173</v>
      </c>
      <c r="D68" s="594"/>
      <c r="E68" s="594"/>
      <c r="F68" s="597">
        <f t="shared" si="2"/>
        <v>44815629</v>
      </c>
      <c r="G68" s="599"/>
      <c r="H68" s="600">
        <f t="shared" si="3"/>
        <v>0.23333033542631224</v>
      </c>
      <c r="I68" s="591"/>
      <c r="J68" s="591">
        <f t="shared" si="4"/>
        <v>0.23330000000000001</v>
      </c>
    </row>
    <row r="69" spans="3:10">
      <c r="C69" s="594" t="s">
        <v>174</v>
      </c>
      <c r="D69" s="594"/>
      <c r="E69" s="594"/>
      <c r="F69" s="597">
        <f t="shared" si="2"/>
        <v>2535102</v>
      </c>
      <c r="G69" s="599"/>
      <c r="H69" s="600">
        <f t="shared" si="3"/>
        <v>1.3193225287542321E-2</v>
      </c>
      <c r="I69" s="591"/>
      <c r="J69" s="591">
        <f t="shared" si="4"/>
        <v>1.32E-2</v>
      </c>
    </row>
    <row r="70" spans="3:10">
      <c r="C70" s="594" t="s">
        <v>175</v>
      </c>
      <c r="D70" s="594"/>
      <c r="E70" s="594"/>
      <c r="F70" s="597">
        <f t="shared" si="2"/>
        <v>3103040</v>
      </c>
      <c r="G70" s="599"/>
      <c r="H70" s="600">
        <f t="shared" si="3"/>
        <v>1.6148898859397107E-2</v>
      </c>
      <c r="I70" s="591"/>
      <c r="J70" s="591">
        <f t="shared" si="4"/>
        <v>1.61E-2</v>
      </c>
    </row>
    <row r="71" spans="3:10">
      <c r="C71" s="594" t="s">
        <v>167</v>
      </c>
      <c r="D71" s="594"/>
      <c r="E71" s="594"/>
      <c r="F71" s="597">
        <f>+C43</f>
        <v>192151801</v>
      </c>
      <c r="G71" s="597"/>
      <c r="H71" s="600">
        <f>+E43</f>
        <v>1</v>
      </c>
      <c r="I71" s="591"/>
      <c r="J71" s="591">
        <f>SUM(J66:J70)</f>
        <v>0.99999999999999989</v>
      </c>
    </row>
    <row r="72" spans="3:10">
      <c r="C72" s="592"/>
      <c r="D72" s="592"/>
      <c r="E72" s="592"/>
      <c r="F72" s="592"/>
      <c r="G72" s="592"/>
      <c r="H72" s="592"/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FCA1-6BB3-4E8A-A9B9-32DF61270ECB}">
  <dimension ref="A7:AJ92"/>
  <sheetViews>
    <sheetView showOutlineSymbols="0" view="pageBreakPreview" zoomScale="70" zoomScaleNormal="60" zoomScaleSheetLayoutView="70" workbookViewId="0">
      <pane xSplit="2" topLeftCell="F1" activePane="topRight" state="frozen"/>
      <selection activeCell="A39" sqref="A39"/>
      <selection pane="topRight" activeCell="AC11" sqref="AC11"/>
    </sheetView>
  </sheetViews>
  <sheetFormatPr defaultColWidth="9.6640625" defaultRowHeight="23.25"/>
  <cols>
    <col min="1" max="1" width="54" style="439" customWidth="1"/>
    <col min="2" max="2" width="2" style="439" customWidth="1"/>
    <col min="3" max="3" width="19.33203125" style="439" bestFit="1" customWidth="1"/>
    <col min="4" max="4" width="2" style="439" customWidth="1"/>
    <col min="5" max="5" width="11.6640625" style="439" bestFit="1" customWidth="1"/>
    <col min="6" max="6" width="2" style="439" customWidth="1"/>
    <col min="7" max="7" width="19.33203125" style="439" bestFit="1" customWidth="1"/>
    <col min="8" max="8" width="2" style="439" customWidth="1"/>
    <col min="9" max="9" width="11.6640625" style="439" bestFit="1" customWidth="1"/>
    <col min="10" max="10" width="2" style="439" customWidth="1"/>
    <col min="11" max="11" width="20" style="439" bestFit="1" customWidth="1"/>
    <col min="12" max="12" width="2" style="439" customWidth="1"/>
    <col min="13" max="13" width="11.6640625" style="439" bestFit="1" customWidth="1"/>
    <col min="14" max="14" width="2" style="439" customWidth="1"/>
    <col min="15" max="15" width="16.77734375" style="439" customWidth="1"/>
    <col min="16" max="16" width="2" style="439" customWidth="1"/>
    <col min="17" max="17" width="11.77734375" style="439" customWidth="1"/>
    <col min="18" max="18" width="2.109375" style="439" customWidth="1"/>
    <col min="19" max="19" width="16.77734375" style="439" customWidth="1"/>
    <col min="20" max="20" width="2" style="439" customWidth="1"/>
    <col min="21" max="21" width="13.5546875" style="439" bestFit="1" customWidth="1"/>
    <col min="22" max="22" width="2" style="439" customWidth="1"/>
    <col min="23" max="23" width="20.5546875" style="439" bestFit="1" customWidth="1"/>
    <col min="24" max="24" width="2" style="439" customWidth="1"/>
    <col min="25" max="25" width="16.77734375" style="439" customWidth="1"/>
    <col min="26" max="26" width="2" style="439" customWidth="1"/>
    <col min="27" max="27" width="16.77734375" style="439" customWidth="1"/>
    <col min="28" max="28" width="20" style="440" customWidth="1"/>
    <col min="29" max="29" width="18.33203125" style="440" bestFit="1" customWidth="1"/>
    <col min="30" max="30" width="15.109375" style="439" bestFit="1" customWidth="1"/>
    <col min="31" max="31" width="16.88671875" style="439" bestFit="1" customWidth="1"/>
    <col min="32" max="32" width="10.5546875" style="441" customWidth="1"/>
    <col min="33" max="33" width="10.5546875" style="439" customWidth="1"/>
    <col min="34" max="34" width="17.109375" style="439" customWidth="1"/>
    <col min="35" max="35" width="17.21875" style="442" customWidth="1"/>
    <col min="36" max="36" width="13.5546875" style="439" customWidth="1"/>
    <col min="37" max="16384" width="9.6640625" style="439"/>
  </cols>
  <sheetData>
    <row r="7" spans="1:36">
      <c r="K7" s="443"/>
      <c r="O7" s="443"/>
    </row>
    <row r="8" spans="1:36">
      <c r="K8" s="443"/>
      <c r="O8" s="443"/>
    </row>
    <row r="9" spans="1:36">
      <c r="K9" s="443"/>
      <c r="O9" s="443"/>
    </row>
    <row r="10" spans="1:36">
      <c r="K10" s="443"/>
      <c r="O10" s="443"/>
      <c r="P10" s="444"/>
      <c r="Q10" s="443"/>
      <c r="R10" s="444"/>
      <c r="S10" s="444"/>
      <c r="T10" s="444"/>
      <c r="U10" s="443"/>
      <c r="V10" s="444"/>
      <c r="W10" s="443"/>
    </row>
    <row r="11" spans="1:36" ht="93.75" thickBot="1">
      <c r="A11" s="445" t="s">
        <v>181</v>
      </c>
      <c r="B11" s="446"/>
      <c r="C11" s="447" t="s">
        <v>171</v>
      </c>
      <c r="D11" s="448"/>
      <c r="E11" s="449" t="s">
        <v>182</v>
      </c>
      <c r="F11" s="448"/>
      <c r="G11" s="447" t="s">
        <v>172</v>
      </c>
      <c r="H11" s="448"/>
      <c r="I11" s="449" t="s">
        <v>182</v>
      </c>
      <c r="J11" s="448"/>
      <c r="K11" s="447" t="s">
        <v>173</v>
      </c>
      <c r="L11" s="448"/>
      <c r="M11" s="449" t="s">
        <v>182</v>
      </c>
      <c r="N11" s="448"/>
      <c r="O11" s="447" t="s">
        <v>174</v>
      </c>
      <c r="P11" s="448"/>
      <c r="Q11" s="449" t="s">
        <v>182</v>
      </c>
      <c r="R11" s="448"/>
      <c r="S11" s="447" t="s">
        <v>175</v>
      </c>
      <c r="T11" s="448"/>
      <c r="U11" s="449" t="s">
        <v>182</v>
      </c>
      <c r="V11" s="448"/>
      <c r="W11" s="447" t="s">
        <v>42</v>
      </c>
      <c r="X11" s="448"/>
      <c r="Y11" s="449" t="s">
        <v>183</v>
      </c>
      <c r="Z11" s="448"/>
      <c r="AA11" s="449" t="s">
        <v>184</v>
      </c>
      <c r="AD11" s="450"/>
      <c r="AH11" s="444"/>
      <c r="AI11" s="451"/>
    </row>
    <row r="12" spans="1:36">
      <c r="AG12" s="452"/>
    </row>
    <row r="13" spans="1:36">
      <c r="A13" s="453" t="s">
        <v>160</v>
      </c>
      <c r="C13" s="454">
        <v>58960209</v>
      </c>
      <c r="D13" s="455"/>
      <c r="E13" s="456">
        <v>0.51224942959429176</v>
      </c>
      <c r="F13" s="441"/>
      <c r="G13" s="454">
        <v>13228085</v>
      </c>
      <c r="H13" s="457"/>
      <c r="I13" s="456">
        <v>0.49776479530306922</v>
      </c>
      <c r="J13" s="441"/>
      <c r="K13" s="454">
        <v>12406783</v>
      </c>
      <c r="L13" s="457"/>
      <c r="M13" s="456">
        <v>0.27694054149948444</v>
      </c>
      <c r="N13" s="441"/>
      <c r="O13" s="454">
        <v>1300757</v>
      </c>
      <c r="P13" s="457"/>
      <c r="Q13" s="456">
        <v>0.51309848676700187</v>
      </c>
      <c r="R13" s="441"/>
      <c r="S13" s="454">
        <v>1998580</v>
      </c>
      <c r="T13" s="457"/>
      <c r="U13" s="456">
        <v>0.64407162008868724</v>
      </c>
      <c r="V13" s="441"/>
      <c r="W13" s="454">
        <v>87894414</v>
      </c>
      <c r="X13" s="458"/>
      <c r="Y13" s="456">
        <v>0.45752175479271201</v>
      </c>
      <c r="Z13" s="441"/>
      <c r="AA13" s="456">
        <v>0.43053460008417954</v>
      </c>
      <c r="AB13" s="459"/>
      <c r="AC13" s="441"/>
      <c r="AD13" s="457"/>
      <c r="AE13" s="457"/>
      <c r="AF13" s="442"/>
      <c r="AG13" s="441"/>
      <c r="AH13" s="458"/>
      <c r="AI13" s="460"/>
      <c r="AJ13" s="458"/>
    </row>
    <row r="14" spans="1:36">
      <c r="A14" s="453"/>
      <c r="C14" s="454"/>
      <c r="D14" s="455"/>
      <c r="E14" s="456"/>
      <c r="F14" s="441"/>
      <c r="G14" s="454"/>
      <c r="H14" s="457"/>
      <c r="I14" s="456"/>
      <c r="J14" s="441"/>
      <c r="K14" s="454"/>
      <c r="L14" s="457"/>
      <c r="M14" s="456"/>
      <c r="N14" s="441"/>
      <c r="O14" s="454"/>
      <c r="P14" s="457"/>
      <c r="Q14" s="456"/>
      <c r="R14" s="441"/>
      <c r="S14" s="454"/>
      <c r="T14" s="457"/>
      <c r="U14" s="456"/>
      <c r="V14" s="441"/>
      <c r="W14" s="454"/>
      <c r="X14" s="458"/>
      <c r="Y14" s="456"/>
      <c r="Z14" s="441"/>
      <c r="AA14" s="456"/>
      <c r="AB14" s="459"/>
      <c r="AC14" s="441"/>
      <c r="AD14" s="457"/>
      <c r="AE14" s="457"/>
      <c r="AF14" s="442"/>
      <c r="AG14" s="441"/>
      <c r="AH14" s="458"/>
      <c r="AI14" s="460"/>
      <c r="AJ14" s="458"/>
    </row>
    <row r="15" spans="1:36" hidden="1">
      <c r="A15" s="453"/>
      <c r="C15" s="461"/>
      <c r="D15" s="462"/>
      <c r="E15" s="456"/>
      <c r="F15" s="441"/>
      <c r="G15" s="461"/>
      <c r="H15" s="463"/>
      <c r="I15" s="456"/>
      <c r="J15" s="441"/>
      <c r="K15" s="461"/>
      <c r="L15" s="458"/>
      <c r="M15" s="456"/>
      <c r="N15" s="441"/>
      <c r="O15" s="461"/>
      <c r="P15" s="458"/>
      <c r="Q15" s="456"/>
      <c r="R15" s="441"/>
      <c r="S15" s="461"/>
      <c r="T15" s="463"/>
      <c r="U15" s="456"/>
      <c r="V15" s="441"/>
      <c r="W15" s="464"/>
      <c r="X15" s="458"/>
      <c r="Y15" s="456"/>
      <c r="Z15" s="441"/>
      <c r="AA15" s="456"/>
      <c r="AB15" s="459"/>
      <c r="AC15" s="441"/>
      <c r="AD15" s="457"/>
      <c r="AE15" s="457"/>
      <c r="AG15" s="441"/>
      <c r="AH15" s="465"/>
      <c r="AI15" s="460"/>
    </row>
    <row r="16" spans="1:36">
      <c r="A16" s="453" t="s">
        <v>161</v>
      </c>
      <c r="C16" s="466">
        <v>1</v>
      </c>
      <c r="D16" s="467"/>
      <c r="E16" s="456">
        <v>8.6863570920227203E-9</v>
      </c>
      <c r="F16" s="441"/>
      <c r="G16" s="466">
        <v>20329</v>
      </c>
      <c r="H16" s="463"/>
      <c r="I16" s="456">
        <v>7.6496790909009831E-4</v>
      </c>
      <c r="J16" s="441"/>
      <c r="K16" s="466">
        <v>34923</v>
      </c>
      <c r="L16" s="463"/>
      <c r="M16" s="456">
        <v>7.7925939631462047E-4</v>
      </c>
      <c r="N16" s="441"/>
      <c r="O16" s="466">
        <v>4586</v>
      </c>
      <c r="P16" s="463"/>
      <c r="Q16" s="456">
        <v>1.8090001901304169E-3</v>
      </c>
      <c r="R16" s="441"/>
      <c r="S16" s="466">
        <v>0</v>
      </c>
      <c r="T16" s="468"/>
      <c r="U16" s="456">
        <v>0</v>
      </c>
      <c r="V16" s="441"/>
      <c r="W16" s="466">
        <v>59839</v>
      </c>
      <c r="X16" s="458"/>
      <c r="Y16" s="456">
        <v>3.1141524403406449E-4</v>
      </c>
      <c r="Z16" s="441"/>
      <c r="AA16" s="456">
        <v>2.9311032137306495E-4</v>
      </c>
      <c r="AB16" s="459"/>
      <c r="AC16" s="441"/>
      <c r="AD16" s="457"/>
      <c r="AE16" s="457"/>
      <c r="AF16" s="442"/>
      <c r="AG16" s="441"/>
      <c r="AH16" s="465"/>
      <c r="AI16" s="460"/>
      <c r="AJ16" s="458"/>
    </row>
    <row r="17" spans="1:36">
      <c r="A17" s="453"/>
      <c r="C17" s="469"/>
      <c r="D17" s="467"/>
      <c r="E17" s="456"/>
      <c r="F17" s="441"/>
      <c r="G17" s="470"/>
      <c r="H17" s="463"/>
      <c r="I17" s="456"/>
      <c r="J17" s="441"/>
      <c r="K17" s="464"/>
      <c r="L17" s="463"/>
      <c r="M17" s="456"/>
      <c r="N17" s="441"/>
      <c r="O17" s="464"/>
      <c r="P17" s="463"/>
      <c r="Q17" s="456"/>
      <c r="R17" s="441"/>
      <c r="S17" s="464"/>
      <c r="T17" s="463"/>
      <c r="U17" s="456"/>
      <c r="V17" s="441"/>
      <c r="W17" s="464"/>
      <c r="X17" s="442"/>
      <c r="Y17" s="456"/>
      <c r="Z17" s="441"/>
      <c r="AA17" s="456"/>
      <c r="AB17" s="459"/>
      <c r="AC17" s="441"/>
      <c r="AD17" s="457"/>
      <c r="AE17" s="457"/>
      <c r="AG17" s="441"/>
      <c r="AH17" s="465"/>
      <c r="AI17" s="460"/>
    </row>
    <row r="18" spans="1:36">
      <c r="A18" s="453" t="s">
        <v>162</v>
      </c>
      <c r="C18" s="466">
        <v>14564704</v>
      </c>
      <c r="D18" s="467"/>
      <c r="E18" s="456">
        <v>0.12651421988361167</v>
      </c>
      <c r="F18" s="441"/>
      <c r="G18" s="466">
        <v>3321751</v>
      </c>
      <c r="H18" s="463"/>
      <c r="I18" s="456">
        <v>0.1249954703619432</v>
      </c>
      <c r="J18" s="441"/>
      <c r="K18" s="466">
        <v>3240733</v>
      </c>
      <c r="L18" s="463"/>
      <c r="M18" s="456">
        <v>7.231256310159119E-2</v>
      </c>
      <c r="N18" s="441"/>
      <c r="O18" s="466">
        <v>446355</v>
      </c>
      <c r="P18" s="463"/>
      <c r="Q18" s="456">
        <v>0.1760698386100441</v>
      </c>
      <c r="R18" s="441"/>
      <c r="S18" s="466">
        <v>334740</v>
      </c>
      <c r="T18" s="463"/>
      <c r="U18" s="456">
        <v>0.10787485820356811</v>
      </c>
      <c r="V18" s="441"/>
      <c r="W18" s="466">
        <v>21908283</v>
      </c>
      <c r="X18" s="458"/>
      <c r="Y18" s="456">
        <v>0.11401549652922587</v>
      </c>
      <c r="Z18" s="441"/>
      <c r="AA18" s="456">
        <v>0.10731368958141103</v>
      </c>
      <c r="AB18" s="459"/>
      <c r="AC18" s="441"/>
      <c r="AD18" s="457"/>
      <c r="AE18" s="457"/>
      <c r="AF18" s="442"/>
      <c r="AG18" s="441"/>
      <c r="AH18" s="465"/>
      <c r="AI18" s="460"/>
      <c r="AJ18" s="458"/>
    </row>
    <row r="19" spans="1:36">
      <c r="A19" s="453"/>
      <c r="C19" s="470"/>
      <c r="D19" s="467"/>
      <c r="E19" s="456"/>
      <c r="F19" s="441"/>
      <c r="G19" s="470"/>
      <c r="H19" s="463"/>
      <c r="I19" s="456"/>
      <c r="J19" s="441"/>
      <c r="K19" s="464"/>
      <c r="L19" s="463"/>
      <c r="M19" s="456"/>
      <c r="N19" s="441"/>
      <c r="O19" s="464"/>
      <c r="P19" s="463"/>
      <c r="Q19" s="456"/>
      <c r="R19" s="441"/>
      <c r="S19" s="464"/>
      <c r="T19" s="463"/>
      <c r="U19" s="456"/>
      <c r="V19" s="441"/>
      <c r="W19" s="464"/>
      <c r="X19" s="442"/>
      <c r="Y19" s="456"/>
      <c r="Z19" s="441"/>
      <c r="AA19" s="456"/>
      <c r="AB19" s="459"/>
      <c r="AC19" s="441"/>
      <c r="AD19" s="457"/>
      <c r="AE19" s="457"/>
      <c r="AG19" s="441"/>
      <c r="AH19" s="465"/>
      <c r="AI19" s="460"/>
    </row>
    <row r="20" spans="1:36">
      <c r="A20" s="453" t="s">
        <v>163</v>
      </c>
      <c r="C20" s="466">
        <v>9117000</v>
      </c>
      <c r="D20" s="467"/>
      <c r="E20" s="456">
        <v>7.9193517607971137E-2</v>
      </c>
      <c r="F20" s="441"/>
      <c r="G20" s="466">
        <v>2158476</v>
      </c>
      <c r="H20" s="463"/>
      <c r="I20" s="456">
        <v>8.1222139433378873E-2</v>
      </c>
      <c r="J20" s="441"/>
      <c r="K20" s="466">
        <v>1565808</v>
      </c>
      <c r="L20" s="463"/>
      <c r="M20" s="456">
        <v>3.4938882593837969E-2</v>
      </c>
      <c r="N20" s="441"/>
      <c r="O20" s="466">
        <v>232096</v>
      </c>
      <c r="P20" s="463"/>
      <c r="Q20" s="456">
        <v>9.1552923708789632E-2</v>
      </c>
      <c r="R20" s="441"/>
      <c r="S20" s="466">
        <v>0</v>
      </c>
      <c r="T20" s="463"/>
      <c r="U20" s="456">
        <v>0</v>
      </c>
      <c r="V20" s="441"/>
      <c r="W20" s="466">
        <v>13073380</v>
      </c>
      <c r="X20" s="458"/>
      <c r="Y20" s="456">
        <v>6.8036728940157054E-2</v>
      </c>
      <c r="Z20" s="441"/>
      <c r="AA20" s="456">
        <v>6.4037544297735588E-2</v>
      </c>
      <c r="AB20" s="459"/>
      <c r="AC20" s="441"/>
      <c r="AD20" s="457"/>
      <c r="AE20" s="457"/>
      <c r="AG20" s="471"/>
      <c r="AH20" s="458"/>
      <c r="AI20" s="452"/>
      <c r="AJ20" s="458"/>
    </row>
    <row r="21" spans="1:36">
      <c r="A21" s="453"/>
      <c r="C21" s="470"/>
      <c r="D21" s="467"/>
      <c r="E21" s="456"/>
      <c r="F21" s="441"/>
      <c r="G21" s="470"/>
      <c r="H21" s="463"/>
      <c r="I21" s="456"/>
      <c r="J21" s="441"/>
      <c r="K21" s="464"/>
      <c r="L21" s="463"/>
      <c r="M21" s="456"/>
      <c r="N21" s="441"/>
      <c r="O21" s="464"/>
      <c r="P21" s="463"/>
      <c r="Q21" s="456"/>
      <c r="R21" s="441"/>
      <c r="S21" s="464"/>
      <c r="T21" s="463"/>
      <c r="U21" s="456"/>
      <c r="V21" s="441"/>
      <c r="W21" s="464"/>
      <c r="X21" s="442"/>
      <c r="Y21" s="456"/>
      <c r="Z21" s="441"/>
      <c r="AA21" s="456"/>
      <c r="AB21" s="459"/>
      <c r="AC21" s="441"/>
      <c r="AD21" s="457"/>
      <c r="AE21" s="457"/>
      <c r="AG21" s="471"/>
      <c r="AI21" s="452"/>
    </row>
    <row r="22" spans="1:36">
      <c r="A22" s="453" t="s">
        <v>164</v>
      </c>
      <c r="C22" s="466">
        <v>20299882</v>
      </c>
      <c r="D22" s="467"/>
      <c r="E22" s="456">
        <v>0.17633202397792436</v>
      </c>
      <c r="F22" s="441"/>
      <c r="G22" s="466">
        <v>4767531</v>
      </c>
      <c r="H22" s="463"/>
      <c r="I22" s="456">
        <v>0.17939929266526763</v>
      </c>
      <c r="J22" s="441"/>
      <c r="K22" s="466">
        <v>14570931</v>
      </c>
      <c r="L22" s="463"/>
      <c r="M22" s="456">
        <v>0.32513056996254586</v>
      </c>
      <c r="N22" s="441"/>
      <c r="O22" s="466">
        <v>435410</v>
      </c>
      <c r="P22" s="463"/>
      <c r="Q22" s="456">
        <v>0.17175245808649908</v>
      </c>
      <c r="R22" s="441"/>
      <c r="S22" s="466">
        <v>514720</v>
      </c>
      <c r="T22" s="463"/>
      <c r="U22" s="456">
        <v>0.16587604413736207</v>
      </c>
      <c r="V22" s="441"/>
      <c r="W22" s="466">
        <v>40588474</v>
      </c>
      <c r="X22" s="458"/>
      <c r="Y22" s="456">
        <v>0.21123129623958092</v>
      </c>
      <c r="Z22" s="441"/>
      <c r="AA22" s="456">
        <v>0.19881516499577684</v>
      </c>
      <c r="AB22" s="459"/>
      <c r="AC22" s="441"/>
      <c r="AD22" s="457"/>
      <c r="AE22" s="457"/>
      <c r="AF22" s="442"/>
      <c r="AG22" s="471"/>
      <c r="AH22" s="458"/>
      <c r="AI22" s="452"/>
      <c r="AJ22" s="458"/>
    </row>
    <row r="23" spans="1:36">
      <c r="A23" s="453"/>
      <c r="C23" s="470"/>
      <c r="D23" s="467"/>
      <c r="E23" s="456"/>
      <c r="F23" s="441"/>
      <c r="G23" s="470"/>
      <c r="H23" s="463"/>
      <c r="I23" s="456"/>
      <c r="J23" s="441"/>
      <c r="K23" s="464"/>
      <c r="L23" s="463"/>
      <c r="M23" s="456"/>
      <c r="N23" s="441"/>
      <c r="O23" s="464"/>
      <c r="P23" s="463"/>
      <c r="Q23" s="456"/>
      <c r="R23" s="441"/>
      <c r="S23" s="464"/>
      <c r="T23" s="463"/>
      <c r="U23" s="456"/>
      <c r="V23" s="441"/>
      <c r="W23" s="464"/>
      <c r="X23" s="442"/>
      <c r="Y23" s="456"/>
      <c r="Z23" s="441"/>
      <c r="AA23" s="456"/>
      <c r="AB23" s="459"/>
      <c r="AC23" s="441"/>
      <c r="AD23" s="457"/>
      <c r="AE23" s="457"/>
      <c r="AG23" s="471"/>
      <c r="AI23" s="452"/>
    </row>
    <row r="24" spans="1:36">
      <c r="A24" s="453" t="s">
        <v>185</v>
      </c>
      <c r="C24" s="466">
        <v>12181263</v>
      </c>
      <c r="D24" s="467"/>
      <c r="E24" s="456">
        <v>0.10581080024984395</v>
      </c>
      <c r="F24" s="441"/>
      <c r="G24" s="466">
        <v>3078799</v>
      </c>
      <c r="H24" s="463"/>
      <c r="I24" s="456">
        <v>0.115753334327251</v>
      </c>
      <c r="J24" s="441"/>
      <c r="K24" s="466">
        <v>12996451</v>
      </c>
      <c r="L24" s="463"/>
      <c r="M24" s="456">
        <v>0.28999818344622585</v>
      </c>
      <c r="N24" s="441"/>
      <c r="O24" s="466">
        <v>115898</v>
      </c>
      <c r="P24" s="463"/>
      <c r="Q24" s="456">
        <v>4.5617292637534897E-2</v>
      </c>
      <c r="R24" s="441"/>
      <c r="S24" s="466">
        <v>255000</v>
      </c>
      <c r="T24" s="463"/>
      <c r="U24" s="456">
        <v>8.2077477570382584E-2</v>
      </c>
      <c r="V24" s="441"/>
      <c r="W24" s="466">
        <v>28627411</v>
      </c>
      <c r="X24" s="458"/>
      <c r="Y24" s="456">
        <v>0.14898330825429004</v>
      </c>
      <c r="Z24" s="441"/>
      <c r="AA24" s="456">
        <v>0.14022610067495805</v>
      </c>
      <c r="AB24" s="459"/>
      <c r="AC24" s="441"/>
      <c r="AD24" s="457"/>
      <c r="AE24" s="457"/>
      <c r="AF24" s="442"/>
      <c r="AG24" s="471"/>
      <c r="AH24" s="458"/>
      <c r="AI24" s="452"/>
      <c r="AJ24" s="458"/>
    </row>
    <row r="25" spans="1:36" ht="24" thickBot="1">
      <c r="G25" s="442"/>
      <c r="H25" s="442"/>
      <c r="K25" s="442"/>
      <c r="L25" s="442"/>
      <c r="O25" s="442"/>
      <c r="P25" s="442"/>
      <c r="S25" s="442"/>
      <c r="T25" s="442"/>
      <c r="W25" s="442"/>
      <c r="X25" s="442"/>
      <c r="Y25" s="440"/>
      <c r="Z25" s="440"/>
      <c r="AB25" s="459"/>
      <c r="AC25" s="441"/>
      <c r="AD25" s="457"/>
      <c r="AE25" s="457"/>
      <c r="AI25" s="452"/>
    </row>
    <row r="26" spans="1:36">
      <c r="A26" s="446" t="s">
        <v>186</v>
      </c>
      <c r="B26" s="446"/>
      <c r="C26" s="677">
        <v>115123059</v>
      </c>
      <c r="D26" s="472"/>
      <c r="E26" s="662">
        <v>1</v>
      </c>
      <c r="F26" s="472"/>
      <c r="G26" s="679">
        <v>26574971</v>
      </c>
      <c r="H26" s="473"/>
      <c r="I26" s="662">
        <v>1</v>
      </c>
      <c r="J26" s="472"/>
      <c r="K26" s="679">
        <v>44815629</v>
      </c>
      <c r="L26" s="473"/>
      <c r="M26" s="662">
        <v>0.99999999999999978</v>
      </c>
      <c r="N26" s="472"/>
      <c r="O26" s="677">
        <v>2535102</v>
      </c>
      <c r="P26" s="472"/>
      <c r="Q26" s="662">
        <v>1</v>
      </c>
      <c r="R26" s="472"/>
      <c r="S26" s="677">
        <v>3103040</v>
      </c>
      <c r="T26" s="472"/>
      <c r="U26" s="662">
        <v>1</v>
      </c>
      <c r="V26" s="472"/>
      <c r="W26" s="679">
        <v>192151801</v>
      </c>
      <c r="X26" s="472"/>
      <c r="Y26" s="662">
        <v>1</v>
      </c>
      <c r="Z26" s="474"/>
      <c r="AA26" s="662">
        <v>0.9412202099554341</v>
      </c>
      <c r="AB26" s="459"/>
      <c r="AC26" s="441"/>
      <c r="AD26" s="457"/>
      <c r="AE26" s="457"/>
      <c r="AF26" s="458"/>
      <c r="AJ26" s="458"/>
    </row>
    <row r="27" spans="1:36" s="462" customFormat="1" ht="24" thickBot="1">
      <c r="A27" s="472" t="s">
        <v>187</v>
      </c>
      <c r="B27" s="472"/>
      <c r="C27" s="678"/>
      <c r="E27" s="674"/>
      <c r="G27" s="680"/>
      <c r="I27" s="674"/>
      <c r="K27" s="680"/>
      <c r="M27" s="674"/>
      <c r="O27" s="678"/>
      <c r="Q27" s="674"/>
      <c r="S27" s="678"/>
      <c r="U27" s="674"/>
      <c r="W27" s="680"/>
      <c r="Y27" s="674"/>
      <c r="AA27" s="674"/>
      <c r="AB27" s="459"/>
    </row>
    <row r="28" spans="1:36">
      <c r="A28" s="446"/>
      <c r="B28" s="446"/>
      <c r="C28" s="446"/>
      <c r="D28" s="446"/>
      <c r="E28" s="446"/>
      <c r="F28" s="446"/>
      <c r="G28" s="442"/>
      <c r="H28" s="442"/>
      <c r="I28" s="446"/>
      <c r="J28" s="446"/>
      <c r="K28" s="442"/>
      <c r="L28" s="442"/>
      <c r="M28" s="446"/>
      <c r="N28" s="446"/>
      <c r="O28" s="442" t="s">
        <v>3</v>
      </c>
      <c r="P28" s="442"/>
      <c r="Q28" s="446"/>
      <c r="R28" s="446"/>
      <c r="S28" s="442"/>
      <c r="T28" s="442"/>
      <c r="U28" s="446"/>
      <c r="V28" s="446"/>
      <c r="W28" s="442"/>
      <c r="X28" s="442"/>
      <c r="AB28" s="459"/>
      <c r="AD28" s="458"/>
      <c r="AE28" s="458"/>
    </row>
    <row r="29" spans="1:36">
      <c r="A29" s="475" t="s">
        <v>188</v>
      </c>
      <c r="B29" s="475"/>
      <c r="C29" s="660">
        <v>0.59912557884378093</v>
      </c>
      <c r="D29" s="476"/>
      <c r="E29" s="675"/>
      <c r="F29" s="476"/>
      <c r="G29" s="660">
        <v>0.13830196158296743</v>
      </c>
      <c r="H29" s="441"/>
      <c r="I29" s="660"/>
      <c r="J29" s="476"/>
      <c r="K29" s="660">
        <v>0.23333033542631224</v>
      </c>
      <c r="L29" s="441"/>
      <c r="M29" s="660"/>
      <c r="N29" s="476"/>
      <c r="O29" s="660">
        <v>1.3193225287542321E-2</v>
      </c>
      <c r="P29" s="441"/>
      <c r="Q29" s="660"/>
      <c r="R29" s="476"/>
      <c r="S29" s="660">
        <v>1.6148898859397107E-2</v>
      </c>
      <c r="T29" s="441"/>
      <c r="U29" s="660"/>
      <c r="V29" s="476"/>
      <c r="W29" s="660">
        <v>1</v>
      </c>
      <c r="X29" s="440"/>
      <c r="Y29" s="660"/>
      <c r="AA29" s="660"/>
      <c r="AD29" s="458"/>
    </row>
    <row r="30" spans="1:36">
      <c r="A30" s="475" t="s">
        <v>189</v>
      </c>
      <c r="B30" s="475"/>
      <c r="C30" s="661"/>
      <c r="D30" s="476"/>
      <c r="E30" s="676"/>
      <c r="F30" s="476"/>
      <c r="G30" s="661"/>
      <c r="H30" s="441"/>
      <c r="I30" s="661"/>
      <c r="J30" s="476"/>
      <c r="K30" s="661"/>
      <c r="L30" s="441"/>
      <c r="M30" s="661"/>
      <c r="N30" s="476"/>
      <c r="O30" s="661"/>
      <c r="P30" s="441"/>
      <c r="Q30" s="661"/>
      <c r="R30" s="476"/>
      <c r="S30" s="661"/>
      <c r="T30" s="441"/>
      <c r="U30" s="661"/>
      <c r="V30" s="476"/>
      <c r="W30" s="661"/>
      <c r="X30" s="440"/>
      <c r="Y30" s="661"/>
      <c r="AA30" s="661"/>
      <c r="AD30" s="458"/>
    </row>
    <row r="31" spans="1:36">
      <c r="A31" s="448"/>
      <c r="B31" s="448"/>
      <c r="C31" s="465"/>
      <c r="D31" s="465"/>
      <c r="E31" s="477"/>
      <c r="F31" s="477"/>
      <c r="G31" s="465"/>
      <c r="H31" s="465"/>
      <c r="I31" s="477"/>
      <c r="J31" s="477"/>
      <c r="K31" s="465"/>
      <c r="L31" s="465"/>
      <c r="M31" s="477"/>
      <c r="N31" s="477"/>
      <c r="O31" s="465"/>
      <c r="P31" s="465"/>
      <c r="Q31" s="477"/>
      <c r="R31" s="477"/>
      <c r="S31" s="465"/>
      <c r="T31" s="465"/>
      <c r="U31" s="476"/>
      <c r="V31" s="476"/>
      <c r="W31" s="441"/>
      <c r="X31" s="440"/>
      <c r="AD31" s="458"/>
    </row>
    <row r="32" spans="1:36">
      <c r="A32" s="452" t="s">
        <v>190</v>
      </c>
      <c r="B32" s="452"/>
      <c r="C32" s="476"/>
      <c r="D32" s="476"/>
      <c r="O32" s="452"/>
      <c r="P32" s="452"/>
      <c r="S32" s="442"/>
      <c r="T32" s="442"/>
      <c r="U32" s="442"/>
      <c r="V32" s="442"/>
      <c r="W32" s="476"/>
      <c r="X32" s="441"/>
      <c r="AD32" s="458"/>
    </row>
    <row r="33" spans="1:31">
      <c r="A33" s="478" t="s">
        <v>191</v>
      </c>
      <c r="B33" s="442"/>
      <c r="C33" s="479">
        <v>0</v>
      </c>
      <c r="D33" s="480"/>
      <c r="E33" s="481"/>
      <c r="G33" s="479">
        <v>0</v>
      </c>
      <c r="H33" s="480"/>
      <c r="I33" s="481"/>
      <c r="K33" s="466">
        <v>10000000</v>
      </c>
      <c r="L33" s="463"/>
      <c r="M33" s="481"/>
      <c r="O33" s="479">
        <v>0</v>
      </c>
      <c r="P33" s="480"/>
      <c r="Q33" s="481"/>
      <c r="S33" s="479">
        <v>0</v>
      </c>
      <c r="T33" s="480"/>
      <c r="U33" s="481"/>
      <c r="W33" s="466">
        <v>10000000</v>
      </c>
      <c r="X33" s="440"/>
      <c r="Y33" s="481"/>
      <c r="AA33" s="481"/>
      <c r="AD33" s="458"/>
    </row>
    <row r="34" spans="1:31">
      <c r="A34" s="478"/>
      <c r="B34" s="442"/>
      <c r="C34" s="479"/>
      <c r="D34" s="480"/>
      <c r="E34" s="481"/>
      <c r="G34" s="479"/>
      <c r="H34" s="480"/>
      <c r="I34" s="481"/>
      <c r="K34" s="464"/>
      <c r="L34" s="463"/>
      <c r="M34" s="481"/>
      <c r="O34" s="479"/>
      <c r="P34" s="480"/>
      <c r="Q34" s="481"/>
      <c r="S34" s="479"/>
      <c r="T34" s="480"/>
      <c r="U34" s="481"/>
      <c r="W34" s="464"/>
      <c r="X34" s="440"/>
      <c r="Y34" s="481"/>
      <c r="AA34" s="481"/>
      <c r="AD34" s="458"/>
    </row>
    <row r="35" spans="1:31" hidden="1">
      <c r="A35" s="453" t="s">
        <v>192</v>
      </c>
      <c r="C35" s="482">
        <v>0</v>
      </c>
      <c r="D35" s="462"/>
      <c r="E35" s="481"/>
      <c r="G35" s="482">
        <v>0</v>
      </c>
      <c r="H35" s="462"/>
      <c r="I35" s="481"/>
      <c r="K35" s="466">
        <v>0</v>
      </c>
      <c r="L35" s="463"/>
      <c r="M35" s="481"/>
      <c r="O35" s="482">
        <v>0</v>
      </c>
      <c r="P35" s="462"/>
      <c r="Q35" s="481"/>
      <c r="S35" s="482">
        <v>0</v>
      </c>
      <c r="T35" s="462"/>
      <c r="U35" s="481"/>
      <c r="W35" s="466">
        <v>0</v>
      </c>
      <c r="Y35" s="481"/>
      <c r="AA35" s="481"/>
      <c r="AD35" s="458"/>
    </row>
    <row r="36" spans="1:31" hidden="1">
      <c r="A36" s="453"/>
      <c r="C36" s="482"/>
      <c r="D36" s="462"/>
      <c r="E36" s="481"/>
      <c r="G36" s="482"/>
      <c r="H36" s="462"/>
      <c r="I36" s="481"/>
      <c r="K36" s="464"/>
      <c r="L36" s="463"/>
      <c r="M36" s="481"/>
      <c r="O36" s="482"/>
      <c r="P36" s="462"/>
      <c r="Q36" s="481"/>
      <c r="S36" s="482"/>
      <c r="T36" s="462"/>
      <c r="U36" s="481"/>
      <c r="W36" s="464"/>
      <c r="Y36" s="481"/>
      <c r="AA36" s="481"/>
      <c r="AD36" s="458"/>
    </row>
    <row r="37" spans="1:31" hidden="1">
      <c r="A37" s="453" t="s">
        <v>193</v>
      </c>
      <c r="C37" s="482">
        <v>0</v>
      </c>
      <c r="D37" s="462"/>
      <c r="E37" s="481"/>
      <c r="G37" s="482">
        <v>0</v>
      </c>
      <c r="H37" s="462"/>
      <c r="I37" s="481"/>
      <c r="K37" s="466">
        <v>0</v>
      </c>
      <c r="L37" s="463"/>
      <c r="M37" s="481"/>
      <c r="O37" s="482">
        <v>0</v>
      </c>
      <c r="P37" s="462"/>
      <c r="Q37" s="481"/>
      <c r="S37" s="482">
        <v>0</v>
      </c>
      <c r="T37" s="462"/>
      <c r="U37" s="481"/>
      <c r="W37" s="482">
        <v>0</v>
      </c>
      <c r="Y37" s="481"/>
      <c r="AA37" s="481"/>
      <c r="AD37" s="458"/>
    </row>
    <row r="38" spans="1:31" hidden="1">
      <c r="A38" s="453"/>
      <c r="C38" s="482"/>
      <c r="D38" s="462"/>
      <c r="E38" s="481"/>
      <c r="G38" s="482"/>
      <c r="H38" s="462"/>
      <c r="I38" s="481"/>
      <c r="K38" s="464"/>
      <c r="L38" s="463"/>
      <c r="M38" s="481"/>
      <c r="O38" s="482"/>
      <c r="P38" s="462"/>
      <c r="Q38" s="481"/>
      <c r="S38" s="482"/>
      <c r="T38" s="462"/>
      <c r="U38" s="481"/>
      <c r="W38" s="464"/>
      <c r="Y38" s="481"/>
      <c r="AA38" s="481"/>
      <c r="AD38" s="458"/>
    </row>
    <row r="39" spans="1:31">
      <c r="A39" s="453" t="s">
        <v>194</v>
      </c>
      <c r="C39" s="482">
        <v>0</v>
      </c>
      <c r="D39" s="462"/>
      <c r="E39" s="481"/>
      <c r="G39" s="482">
        <v>0</v>
      </c>
      <c r="H39" s="462"/>
      <c r="I39" s="481"/>
      <c r="K39" s="466">
        <v>2000000</v>
      </c>
      <c r="L39" s="463"/>
      <c r="M39" s="481"/>
      <c r="O39" s="482">
        <v>0</v>
      </c>
      <c r="P39" s="462"/>
      <c r="Q39" s="481"/>
      <c r="S39" s="482">
        <v>0</v>
      </c>
      <c r="T39" s="462"/>
      <c r="U39" s="481"/>
      <c r="W39" s="466">
        <v>2000000</v>
      </c>
      <c r="Y39" s="481"/>
      <c r="AA39" s="481"/>
      <c r="AD39" s="458"/>
    </row>
    <row r="40" spans="1:31" hidden="1">
      <c r="A40" s="453"/>
      <c r="C40" s="482"/>
      <c r="D40" s="462"/>
      <c r="E40" s="481"/>
      <c r="G40" s="482"/>
      <c r="H40" s="462"/>
      <c r="I40" s="481"/>
      <c r="K40" s="466"/>
      <c r="L40" s="463"/>
      <c r="M40" s="481"/>
      <c r="O40" s="482"/>
      <c r="P40" s="462"/>
      <c r="Q40" s="481"/>
      <c r="S40" s="482"/>
      <c r="T40" s="462"/>
      <c r="U40" s="481"/>
      <c r="W40" s="466"/>
      <c r="Y40" s="481"/>
      <c r="AA40" s="481"/>
      <c r="AD40" s="458"/>
    </row>
    <row r="41" spans="1:31" hidden="1">
      <c r="A41" s="483" t="s">
        <v>195</v>
      </c>
      <c r="C41" s="482">
        <v>0</v>
      </c>
      <c r="D41" s="462"/>
      <c r="E41" s="481"/>
      <c r="G41" s="482">
        <v>0</v>
      </c>
      <c r="H41" s="462"/>
      <c r="I41" s="481"/>
      <c r="K41" s="466"/>
      <c r="L41" s="463"/>
      <c r="M41" s="481"/>
      <c r="O41" s="482">
        <v>0</v>
      </c>
      <c r="P41" s="462"/>
      <c r="Q41" s="481"/>
      <c r="S41" s="482">
        <v>0</v>
      </c>
      <c r="T41" s="462"/>
      <c r="U41" s="481"/>
      <c r="W41" s="466">
        <v>0</v>
      </c>
      <c r="Y41" s="481"/>
      <c r="AA41" s="481"/>
      <c r="AD41" s="458"/>
    </row>
    <row r="42" spans="1:31" ht="24" thickBot="1">
      <c r="K42" s="463"/>
      <c r="L42" s="463"/>
      <c r="W42" s="463"/>
      <c r="AD42" s="458"/>
    </row>
    <row r="43" spans="1:31" ht="24" thickBot="1">
      <c r="A43" s="446" t="s">
        <v>196</v>
      </c>
      <c r="B43" s="446"/>
      <c r="C43" s="484">
        <v>0</v>
      </c>
      <c r="D43" s="462"/>
      <c r="E43" s="485"/>
      <c r="F43" s="457"/>
      <c r="G43" s="484">
        <v>0</v>
      </c>
      <c r="H43" s="462"/>
      <c r="I43" s="485"/>
      <c r="J43" s="457"/>
      <c r="K43" s="486">
        <v>12000000</v>
      </c>
      <c r="L43" s="463"/>
      <c r="M43" s="485"/>
      <c r="N43" s="457"/>
      <c r="O43" s="484">
        <v>0</v>
      </c>
      <c r="P43" s="462"/>
      <c r="Q43" s="485"/>
      <c r="R43" s="457"/>
      <c r="S43" s="484">
        <v>0</v>
      </c>
      <c r="T43" s="462"/>
      <c r="U43" s="485"/>
      <c r="V43" s="457"/>
      <c r="W43" s="486">
        <v>12000000</v>
      </c>
      <c r="Y43" s="487"/>
      <c r="AA43" s="488">
        <v>5.8779790044565905E-2</v>
      </c>
      <c r="AB43" s="442"/>
      <c r="AC43" s="442"/>
      <c r="AD43" s="458"/>
    </row>
    <row r="44" spans="1:31">
      <c r="K44" s="457"/>
      <c r="L44" s="457"/>
      <c r="W44" s="457"/>
      <c r="AB44" s="442"/>
      <c r="AC44" s="442"/>
      <c r="AD44" s="458"/>
    </row>
    <row r="45" spans="1:31" ht="24" thickBot="1">
      <c r="K45" s="457"/>
      <c r="L45" s="457"/>
      <c r="W45" s="457"/>
      <c r="AB45" s="442"/>
      <c r="AC45" s="442"/>
      <c r="AD45" s="458"/>
    </row>
    <row r="46" spans="1:31">
      <c r="A46" s="446" t="s">
        <v>197</v>
      </c>
      <c r="C46" s="668">
        <v>115123059</v>
      </c>
      <c r="D46" s="489"/>
      <c r="E46" s="670"/>
      <c r="G46" s="668">
        <v>26574971</v>
      </c>
      <c r="H46" s="489"/>
      <c r="I46" s="670"/>
      <c r="K46" s="668">
        <v>56815629</v>
      </c>
      <c r="L46" s="489"/>
      <c r="M46" s="672"/>
      <c r="O46" s="668">
        <v>2535102</v>
      </c>
      <c r="P46" s="489"/>
      <c r="Q46" s="670"/>
      <c r="S46" s="668">
        <v>3103040</v>
      </c>
      <c r="T46" s="489"/>
      <c r="U46" s="670"/>
      <c r="W46" s="668">
        <v>204151801</v>
      </c>
      <c r="Y46" s="670"/>
      <c r="AA46" s="662">
        <v>1</v>
      </c>
      <c r="AC46" s="452"/>
      <c r="AD46" s="490"/>
      <c r="AE46" s="439" t="s">
        <v>3</v>
      </c>
    </row>
    <row r="47" spans="1:31" ht="24" thickBot="1">
      <c r="A47" s="491" t="s">
        <v>198</v>
      </c>
      <c r="B47" s="491"/>
      <c r="C47" s="669"/>
      <c r="E47" s="671"/>
      <c r="G47" s="669"/>
      <c r="I47" s="671"/>
      <c r="K47" s="669"/>
      <c r="M47" s="673"/>
      <c r="O47" s="669"/>
      <c r="Q47" s="671"/>
      <c r="S47" s="669"/>
      <c r="U47" s="671"/>
      <c r="W47" s="669"/>
      <c r="Y47" s="671"/>
      <c r="AA47" s="663"/>
      <c r="AB47" s="459"/>
    </row>
    <row r="48" spans="1:31" ht="24.75" customHeight="1" thickTop="1">
      <c r="Q48" s="446"/>
      <c r="R48" s="446"/>
    </row>
    <row r="49" spans="1:30" ht="24.75" customHeight="1">
      <c r="A49" s="475" t="s">
        <v>188</v>
      </c>
      <c r="B49" s="475"/>
      <c r="C49" s="664">
        <v>0.56390910310901443</v>
      </c>
      <c r="D49" s="441"/>
      <c r="E49" s="660"/>
      <c r="F49" s="441"/>
      <c r="G49" s="664">
        <v>0.13017260131836897</v>
      </c>
      <c r="H49" s="441"/>
      <c r="I49" s="660"/>
      <c r="J49" s="441"/>
      <c r="K49" s="664">
        <v>0.27830089532249586</v>
      </c>
      <c r="L49" s="441"/>
      <c r="M49" s="660"/>
      <c r="N49" s="441"/>
      <c r="O49" s="664">
        <v>1.2417730275129926E-2</v>
      </c>
      <c r="P49" s="441"/>
      <c r="Q49" s="666"/>
      <c r="R49" s="474"/>
      <c r="S49" s="664">
        <v>1.5199669974990816E-2</v>
      </c>
      <c r="T49" s="441"/>
      <c r="U49" s="658"/>
      <c r="W49" s="660">
        <v>1</v>
      </c>
      <c r="Y49" s="660"/>
      <c r="AA49" s="660"/>
    </row>
    <row r="50" spans="1:30" ht="24.75" customHeight="1">
      <c r="A50" s="475" t="s">
        <v>199</v>
      </c>
      <c r="B50" s="475"/>
      <c r="C50" s="665"/>
      <c r="E50" s="661"/>
      <c r="G50" s="665"/>
      <c r="I50" s="661"/>
      <c r="K50" s="665"/>
      <c r="M50" s="661"/>
      <c r="O50" s="665"/>
      <c r="Q50" s="667"/>
      <c r="R50" s="446"/>
      <c r="S50" s="665"/>
      <c r="U50" s="659"/>
      <c r="W50" s="661"/>
      <c r="Y50" s="661"/>
      <c r="AA50" s="661"/>
    </row>
    <row r="51" spans="1:30" ht="24.75" customHeight="1">
      <c r="Q51" s="446"/>
      <c r="R51" s="446"/>
    </row>
    <row r="52" spans="1:30" ht="24.75" customHeight="1">
      <c r="A52" s="492"/>
      <c r="Q52" s="446"/>
      <c r="R52" s="446"/>
    </row>
    <row r="53" spans="1:30" ht="24.75" customHeight="1">
      <c r="Q53" s="446"/>
      <c r="R53" s="446"/>
    </row>
    <row r="54" spans="1:30">
      <c r="AC54" s="462"/>
      <c r="AD54" s="463"/>
    </row>
    <row r="55" spans="1:30">
      <c r="AC55" s="462"/>
    </row>
    <row r="56" spans="1:30">
      <c r="K56" s="493"/>
      <c r="L56" s="493"/>
      <c r="AC56" s="462"/>
    </row>
    <row r="59" spans="1:30">
      <c r="Q59" s="446"/>
      <c r="R59" s="446"/>
      <c r="AB59" s="494"/>
    </row>
    <row r="60" spans="1:30">
      <c r="AB60" s="439"/>
    </row>
    <row r="61" spans="1:30">
      <c r="AB61" s="494"/>
    </row>
    <row r="70" spans="7:16">
      <c r="G70" s="442"/>
      <c r="H70" s="442"/>
    </row>
    <row r="71" spans="7:16">
      <c r="O71" s="442"/>
      <c r="P71" s="442"/>
    </row>
    <row r="72" spans="7:16">
      <c r="G72" s="441"/>
      <c r="H72" s="441"/>
      <c r="K72" s="442"/>
      <c r="L72" s="442"/>
      <c r="O72" s="442"/>
      <c r="P72" s="442"/>
    </row>
    <row r="73" spans="7:16">
      <c r="G73" s="441"/>
      <c r="H73" s="441"/>
      <c r="K73" s="442"/>
      <c r="L73" s="442"/>
      <c r="O73" s="442"/>
      <c r="P73" s="442"/>
    </row>
    <row r="74" spans="7:16">
      <c r="G74" s="441"/>
      <c r="H74" s="441"/>
      <c r="K74" s="442"/>
      <c r="L74" s="442"/>
      <c r="O74" s="442"/>
      <c r="P74" s="442"/>
    </row>
    <row r="75" spans="7:16">
      <c r="G75" s="441"/>
      <c r="H75" s="441"/>
      <c r="K75" s="442"/>
      <c r="L75" s="442"/>
      <c r="O75" s="442"/>
      <c r="P75" s="442"/>
    </row>
    <row r="76" spans="7:16">
      <c r="G76" s="441"/>
      <c r="H76" s="441"/>
      <c r="K76" s="442"/>
      <c r="L76" s="442"/>
      <c r="O76" s="442"/>
      <c r="P76" s="442"/>
    </row>
    <row r="77" spans="7:16">
      <c r="G77" s="441"/>
      <c r="H77" s="441"/>
      <c r="K77" s="442"/>
      <c r="L77" s="442"/>
      <c r="O77" s="442"/>
      <c r="P77" s="442"/>
    </row>
    <row r="78" spans="7:16">
      <c r="G78" s="441"/>
      <c r="H78" s="441"/>
      <c r="K78" s="442"/>
      <c r="L78" s="442"/>
    </row>
    <row r="79" spans="7:16">
      <c r="G79" s="441"/>
      <c r="H79" s="441"/>
      <c r="K79" s="442"/>
      <c r="L79" s="442"/>
    </row>
    <row r="80" spans="7:16">
      <c r="G80" s="441"/>
      <c r="H80" s="441"/>
      <c r="K80" s="442"/>
      <c r="L80" s="442"/>
    </row>
    <row r="81" spans="7:24">
      <c r="G81" s="441"/>
      <c r="H81" s="441"/>
      <c r="K81" s="442"/>
      <c r="L81" s="442"/>
    </row>
    <row r="82" spans="7:24">
      <c r="G82" s="441"/>
      <c r="H82" s="441"/>
      <c r="K82" s="442"/>
      <c r="L82" s="442"/>
      <c r="O82" s="442"/>
      <c r="P82" s="442"/>
    </row>
    <row r="83" spans="7:24">
      <c r="G83" s="441"/>
      <c r="H83" s="441"/>
      <c r="K83" s="442"/>
      <c r="L83" s="442"/>
      <c r="O83" s="442"/>
      <c r="P83" s="442"/>
    </row>
    <row r="90" spans="7:24">
      <c r="G90" s="442"/>
      <c r="H90" s="442"/>
      <c r="K90" s="442"/>
      <c r="L90" s="442"/>
      <c r="O90" s="442"/>
      <c r="P90" s="442"/>
      <c r="S90" s="442"/>
      <c r="T90" s="442"/>
      <c r="W90" s="442"/>
      <c r="X90" s="442"/>
    </row>
    <row r="91" spans="7:24">
      <c r="G91" s="442"/>
      <c r="H91" s="442"/>
      <c r="K91" s="442"/>
      <c r="L91" s="442"/>
      <c r="O91" s="442"/>
      <c r="P91" s="442"/>
      <c r="S91" s="442"/>
      <c r="T91" s="442"/>
      <c r="W91" s="442"/>
      <c r="X91" s="442"/>
    </row>
    <row r="92" spans="7:24">
      <c r="G92" s="442"/>
      <c r="H92" s="442"/>
      <c r="K92" s="442"/>
      <c r="L92" s="442"/>
      <c r="O92" s="442"/>
      <c r="P92" s="442"/>
      <c r="S92" s="442"/>
      <c r="T92" s="442"/>
      <c r="W92" s="442"/>
      <c r="X92" s="442"/>
    </row>
  </sheetData>
  <mergeCells count="52">
    <mergeCell ref="M26:M27"/>
    <mergeCell ref="C26:C27"/>
    <mergeCell ref="E26:E27"/>
    <mergeCell ref="G26:G27"/>
    <mergeCell ref="I26:I27"/>
    <mergeCell ref="K26:K27"/>
    <mergeCell ref="AA26:AA27"/>
    <mergeCell ref="C29:C30"/>
    <mergeCell ref="E29:E30"/>
    <mergeCell ref="G29:G30"/>
    <mergeCell ref="I29:I30"/>
    <mergeCell ref="K29:K30"/>
    <mergeCell ref="M29:M30"/>
    <mergeCell ref="O29:O30"/>
    <mergeCell ref="Q29:Q30"/>
    <mergeCell ref="S29:S30"/>
    <mergeCell ref="O26:O27"/>
    <mergeCell ref="Q26:Q27"/>
    <mergeCell ref="S26:S27"/>
    <mergeCell ref="U26:U27"/>
    <mergeCell ref="W26:W27"/>
    <mergeCell ref="Y26:Y27"/>
    <mergeCell ref="U29:U30"/>
    <mergeCell ref="W29:W30"/>
    <mergeCell ref="Y29:Y30"/>
    <mergeCell ref="AA29:AA30"/>
    <mergeCell ref="C46:C47"/>
    <mergeCell ref="E46:E47"/>
    <mergeCell ref="G46:G47"/>
    <mergeCell ref="I46:I47"/>
    <mergeCell ref="K46:K47"/>
    <mergeCell ref="M46:M47"/>
    <mergeCell ref="M49:M50"/>
    <mergeCell ref="O49:O50"/>
    <mergeCell ref="Q49:Q50"/>
    <mergeCell ref="S49:S50"/>
    <mergeCell ref="O46:O47"/>
    <mergeCell ref="Q46:Q47"/>
    <mergeCell ref="S46:S47"/>
    <mergeCell ref="C49:C50"/>
    <mergeCell ref="E49:E50"/>
    <mergeCell ref="G49:G50"/>
    <mergeCell ref="I49:I50"/>
    <mergeCell ref="K49:K50"/>
    <mergeCell ref="U49:U50"/>
    <mergeCell ref="W49:W50"/>
    <mergeCell ref="Y49:Y50"/>
    <mergeCell ref="AA49:AA50"/>
    <mergeCell ref="AA46:AA47"/>
    <mergeCell ref="U46:U47"/>
    <mergeCell ref="W46:W47"/>
    <mergeCell ref="Y46:Y47"/>
  </mergeCells>
  <pageMargins left="0.7" right="0.7" top="0.5" bottom="0.5" header="0.5" footer="0.5"/>
  <pageSetup scale="47" orientation="portrait" r:id="rId1"/>
  <headerFooter differentFirst="1">
    <oddHeader xml:space="preserve">&amp;C&amp;"-,Bold"&amp;36South Texas College&amp;18
&amp;32Unrestricted Fund&amp;18
&amp;28Summary of Expenditures by Function and Classification&amp;18
&amp;24Budget for Fiscal Year 2023 - 2024&amp;25
&amp;18
&amp;22(Continued)&amp;"-,Regular"&amp;12
</oddHeader>
    <firstHeader>&amp;C&amp;"-,Bold"&amp;36South Texas College&amp;18
&amp;32Unrestricted Fund&amp;18
&amp;28Summary of Expenditures by Function and Classification&amp;18
&amp;24Budget for Fiscal Year 2023 - 2024</firstHeader>
  </headerFooter>
  <colBreaks count="1" manualBreakCount="1">
    <brk id="13" max="51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5181-0470-4A9F-A504-4EA251C83653}">
  <sheetPr>
    <pageSetUpPr fitToPage="1"/>
  </sheetPr>
  <dimension ref="A1:J45"/>
  <sheetViews>
    <sheetView view="pageBreakPreview" zoomScaleNormal="100" zoomScaleSheetLayoutView="100" workbookViewId="0">
      <selection activeCell="C22" sqref="C22"/>
    </sheetView>
  </sheetViews>
  <sheetFormatPr defaultRowHeight="15.75"/>
  <cols>
    <col min="1" max="1" width="33.77734375" style="358" customWidth="1"/>
    <col min="2" max="2" width="2" style="358" customWidth="1"/>
    <col min="3" max="3" width="18.6640625" style="358" customWidth="1"/>
    <col min="4" max="4" width="2" style="358" customWidth="1"/>
    <col min="5" max="5" width="15.77734375" style="358" customWidth="1"/>
    <col min="6" max="6" width="2" style="358" customWidth="1"/>
    <col min="7" max="7" width="15.77734375" style="358" customWidth="1"/>
    <col min="8" max="8" width="28.77734375" style="393" bestFit="1" customWidth="1"/>
    <col min="9" max="9" width="8.88671875" style="358"/>
    <col min="10" max="10" width="12.44140625" style="516" bestFit="1" customWidth="1"/>
    <col min="11" max="16384" width="8.88671875" style="358"/>
  </cols>
  <sheetData>
    <row r="1" spans="1:10" ht="23.25">
      <c r="A1" s="495" t="s">
        <v>65</v>
      </c>
      <c r="B1" s="495"/>
      <c r="C1" s="495"/>
      <c r="D1" s="495"/>
      <c r="E1" s="355"/>
      <c r="F1" s="355"/>
      <c r="G1" s="391"/>
    </row>
    <row r="2" spans="1:10" ht="21">
      <c r="A2" s="496" t="s">
        <v>15</v>
      </c>
      <c r="B2" s="496"/>
      <c r="C2" s="496"/>
      <c r="D2" s="496"/>
      <c r="E2" s="517"/>
      <c r="F2" s="517"/>
      <c r="G2" s="518"/>
    </row>
    <row r="3" spans="1:10" ht="18.75">
      <c r="A3" s="497" t="s">
        <v>212</v>
      </c>
      <c r="B3" s="497"/>
      <c r="C3" s="497"/>
      <c r="D3" s="497"/>
      <c r="E3" s="355"/>
      <c r="F3" s="355"/>
      <c r="G3" s="391"/>
    </row>
    <row r="4" spans="1:10" ht="15" customHeight="1">
      <c r="A4" s="519"/>
      <c r="B4" s="497"/>
      <c r="C4" s="497"/>
      <c r="D4" s="497"/>
      <c r="E4" s="355"/>
      <c r="F4" s="355"/>
      <c r="G4" s="391"/>
    </row>
    <row r="5" spans="1:10">
      <c r="A5" s="356" t="s">
        <v>155</v>
      </c>
      <c r="B5" s="356"/>
      <c r="C5" s="356"/>
      <c r="D5" s="356"/>
      <c r="E5" s="355"/>
      <c r="F5" s="355"/>
      <c r="G5" s="391"/>
    </row>
    <row r="6" spans="1:10" ht="18">
      <c r="A6" s="433"/>
      <c r="B6" s="356"/>
      <c r="C6" s="356"/>
      <c r="D6" s="356"/>
      <c r="E6" s="355"/>
      <c r="F6" s="355"/>
      <c r="G6" s="391"/>
      <c r="H6" s="520"/>
      <c r="I6" s="520"/>
      <c r="J6" s="521"/>
    </row>
    <row r="7" spans="1:10" ht="18.75" thickBot="1">
      <c r="A7" s="522" t="s">
        <v>213</v>
      </c>
      <c r="C7" s="522" t="s">
        <v>214</v>
      </c>
      <c r="E7" s="522" t="s">
        <v>42</v>
      </c>
      <c r="F7" s="523"/>
      <c r="G7" s="523"/>
      <c r="H7" s="524"/>
      <c r="I7" s="525"/>
      <c r="J7" s="521"/>
    </row>
    <row r="8" spans="1:10" ht="18">
      <c r="A8" s="523"/>
      <c r="B8" s="526"/>
      <c r="C8" s="523"/>
      <c r="D8" s="526"/>
      <c r="E8" s="523"/>
      <c r="F8" s="523"/>
      <c r="G8" s="523"/>
      <c r="H8" s="524"/>
      <c r="I8" s="525"/>
      <c r="J8" s="521"/>
    </row>
    <row r="9" spans="1:10">
      <c r="A9" s="527" t="s">
        <v>160</v>
      </c>
      <c r="B9" s="526"/>
      <c r="C9" s="523"/>
      <c r="D9" s="526"/>
      <c r="E9" s="523"/>
      <c r="F9" s="523"/>
      <c r="G9" s="523"/>
    </row>
    <row r="10" spans="1:10" ht="18" customHeight="1">
      <c r="A10" s="528" t="s">
        <v>215</v>
      </c>
      <c r="C10" s="529">
        <v>150049</v>
      </c>
      <c r="E10" s="530">
        <v>200000</v>
      </c>
      <c r="F10" s="523"/>
      <c r="G10" s="523"/>
    </row>
    <row r="11" spans="1:10" ht="18" customHeight="1">
      <c r="A11" s="528" t="s">
        <v>216</v>
      </c>
      <c r="C11" s="529">
        <v>150050</v>
      </c>
      <c r="E11" s="531">
        <v>100000</v>
      </c>
      <c r="F11" s="523"/>
      <c r="G11" s="523"/>
    </row>
    <row r="12" spans="1:10" ht="18" customHeight="1">
      <c r="A12" s="528" t="s">
        <v>217</v>
      </c>
      <c r="C12" s="529">
        <v>210027</v>
      </c>
      <c r="E12" s="531">
        <v>90000</v>
      </c>
      <c r="F12" s="532"/>
      <c r="G12" s="533"/>
      <c r="H12" s="524"/>
      <c r="I12" s="525"/>
      <c r="J12" s="534"/>
    </row>
    <row r="13" spans="1:10" ht="18" customHeight="1">
      <c r="A13" s="528" t="s">
        <v>139</v>
      </c>
      <c r="C13" s="529">
        <v>221106</v>
      </c>
      <c r="E13" s="531">
        <v>48000</v>
      </c>
      <c r="F13" s="532"/>
      <c r="G13" s="533"/>
      <c r="H13" s="524"/>
      <c r="I13" s="525"/>
      <c r="J13" s="534"/>
    </row>
    <row r="14" spans="1:10" ht="18" customHeight="1">
      <c r="A14" s="588" t="s">
        <v>133</v>
      </c>
      <c r="C14" s="529">
        <v>221301</v>
      </c>
      <c r="E14" s="531">
        <v>60000</v>
      </c>
      <c r="F14" s="532"/>
      <c r="G14" s="532"/>
      <c r="H14" s="524"/>
      <c r="I14" s="525"/>
      <c r="J14" s="534"/>
    </row>
    <row r="15" spans="1:10" ht="18" customHeight="1">
      <c r="A15" s="588" t="s">
        <v>218</v>
      </c>
      <c r="C15" s="529">
        <v>221407</v>
      </c>
      <c r="E15" s="531">
        <v>22880</v>
      </c>
      <c r="F15" s="532"/>
      <c r="G15" s="532"/>
      <c r="H15" s="524"/>
      <c r="I15" s="525"/>
      <c r="J15" s="534"/>
    </row>
    <row r="16" spans="1:10" ht="18" customHeight="1">
      <c r="A16" s="588" t="s">
        <v>141</v>
      </c>
      <c r="B16" s="393"/>
      <c r="C16" s="529">
        <v>221415</v>
      </c>
      <c r="D16" s="393"/>
      <c r="E16" s="535">
        <v>1012700</v>
      </c>
      <c r="F16" s="536"/>
      <c r="G16" s="536"/>
      <c r="H16" s="524"/>
      <c r="I16" s="525"/>
      <c r="J16" s="534"/>
    </row>
    <row r="17" spans="1:10" ht="18" customHeight="1">
      <c r="A17" s="588" t="s">
        <v>140</v>
      </c>
      <c r="B17" s="393"/>
      <c r="C17" s="529">
        <v>224003</v>
      </c>
      <c r="D17" s="393"/>
      <c r="E17" s="535">
        <v>250000</v>
      </c>
      <c r="F17" s="536"/>
      <c r="G17" s="536"/>
      <c r="H17" s="524"/>
      <c r="I17" s="525"/>
      <c r="J17" s="534"/>
    </row>
    <row r="18" spans="1:10" ht="18" customHeight="1">
      <c r="A18" s="588" t="s">
        <v>219</v>
      </c>
      <c r="B18" s="393"/>
      <c r="C18" s="529">
        <v>600007</v>
      </c>
      <c r="D18" s="393"/>
      <c r="E18" s="535">
        <v>200000</v>
      </c>
      <c r="F18" s="536"/>
      <c r="G18" s="536"/>
      <c r="H18" s="524"/>
      <c r="I18" s="525"/>
      <c r="J18" s="534"/>
    </row>
    <row r="19" spans="1:10" ht="18">
      <c r="A19" s="588" t="s">
        <v>220</v>
      </c>
      <c r="B19" s="393"/>
      <c r="C19" s="529">
        <v>600010</v>
      </c>
      <c r="D19" s="393"/>
      <c r="E19" s="535">
        <v>15000</v>
      </c>
      <c r="F19" s="536"/>
      <c r="G19" s="536"/>
      <c r="H19" s="524"/>
      <c r="I19" s="537"/>
      <c r="J19" s="534"/>
    </row>
    <row r="20" spans="1:10" ht="18">
      <c r="A20" s="589" t="s">
        <v>221</v>
      </c>
      <c r="B20" s="393"/>
      <c r="C20" s="393"/>
      <c r="D20" s="393"/>
      <c r="E20" s="539">
        <f>SUM(E10:E19)</f>
        <v>1998580</v>
      </c>
      <c r="F20" s="540"/>
      <c r="G20" s="540"/>
      <c r="H20" s="524"/>
      <c r="I20" s="525"/>
      <c r="J20" s="521"/>
    </row>
    <row r="21" spans="1:10" ht="18">
      <c r="A21" s="589"/>
      <c r="B21" s="393"/>
      <c r="C21" s="393"/>
      <c r="D21" s="393"/>
      <c r="E21" s="540"/>
      <c r="F21" s="540"/>
      <c r="G21" s="540"/>
      <c r="H21" s="524"/>
      <c r="I21" s="525"/>
      <c r="J21" s="521"/>
    </row>
    <row r="22" spans="1:10">
      <c r="A22" s="589" t="s">
        <v>222</v>
      </c>
      <c r="B22" s="393"/>
      <c r="C22" s="393"/>
      <c r="D22" s="393"/>
      <c r="E22" s="536"/>
      <c r="F22" s="536"/>
      <c r="G22" s="536"/>
    </row>
    <row r="23" spans="1:10" ht="18" customHeight="1">
      <c r="A23" s="588" t="s">
        <v>223</v>
      </c>
      <c r="C23" s="529">
        <v>212100</v>
      </c>
      <c r="E23" s="531">
        <v>64740</v>
      </c>
      <c r="F23" s="536"/>
      <c r="G23" s="536"/>
    </row>
    <row r="24" spans="1:10" ht="18" customHeight="1">
      <c r="A24" s="588" t="s">
        <v>224</v>
      </c>
      <c r="C24" s="529" t="s">
        <v>225</v>
      </c>
      <c r="E24" s="531">
        <v>170000</v>
      </c>
      <c r="F24" s="536"/>
      <c r="G24" s="536"/>
    </row>
    <row r="25" spans="1:10" ht="18" customHeight="1">
      <c r="A25" s="588" t="s">
        <v>226</v>
      </c>
      <c r="C25" s="529" t="s">
        <v>227</v>
      </c>
      <c r="E25" s="531">
        <v>35000</v>
      </c>
      <c r="F25" s="536"/>
      <c r="G25" s="536"/>
    </row>
    <row r="26" spans="1:10" ht="18" customHeight="1">
      <c r="A26" s="588" t="s">
        <v>228</v>
      </c>
      <c r="C26" s="529">
        <v>540008</v>
      </c>
      <c r="E26" s="536">
        <v>65000</v>
      </c>
      <c r="F26" s="536"/>
      <c r="G26" s="536"/>
    </row>
    <row r="27" spans="1:10" ht="18">
      <c r="A27" s="589" t="s">
        <v>229</v>
      </c>
      <c r="E27" s="539">
        <f>SUM(E23:E26)</f>
        <v>334740</v>
      </c>
      <c r="F27" s="540"/>
      <c r="G27" s="540"/>
      <c r="H27" s="524"/>
      <c r="I27" s="525"/>
      <c r="J27" s="534"/>
    </row>
    <row r="28" spans="1:10" ht="18">
      <c r="A28" s="541"/>
      <c r="E28" s="536"/>
      <c r="F28" s="536"/>
      <c r="G28" s="536"/>
      <c r="H28" s="524"/>
      <c r="I28" s="525"/>
      <c r="J28" s="534"/>
    </row>
    <row r="29" spans="1:10" ht="18">
      <c r="A29" s="538" t="s">
        <v>164</v>
      </c>
      <c r="E29" s="536"/>
      <c r="F29" s="536"/>
      <c r="G29" s="536"/>
      <c r="H29" s="542"/>
      <c r="I29" s="537"/>
      <c r="J29" s="521"/>
    </row>
    <row r="30" spans="1:10" ht="18" customHeight="1">
      <c r="A30" s="528" t="s">
        <v>230</v>
      </c>
      <c r="C30" s="529">
        <v>410050</v>
      </c>
      <c r="E30" s="535">
        <v>54720</v>
      </c>
      <c r="F30" s="536"/>
      <c r="G30" s="536"/>
      <c r="H30" s="542"/>
      <c r="I30" s="537"/>
      <c r="J30" s="521"/>
    </row>
    <row r="31" spans="1:10" ht="18" customHeight="1">
      <c r="A31" s="588" t="s">
        <v>231</v>
      </c>
      <c r="C31" s="529">
        <v>520002</v>
      </c>
      <c r="E31" s="535">
        <v>460000</v>
      </c>
      <c r="F31" s="536"/>
      <c r="G31" s="536"/>
      <c r="H31" s="542"/>
      <c r="I31" s="537"/>
      <c r="J31" s="521"/>
    </row>
    <row r="32" spans="1:10" ht="18">
      <c r="A32" s="589" t="s">
        <v>232</v>
      </c>
      <c r="C32" s="543"/>
      <c r="E32" s="539">
        <f>SUM(E30:E31)</f>
        <v>514720</v>
      </c>
      <c r="F32" s="536"/>
      <c r="G32" s="536"/>
      <c r="H32" s="542"/>
      <c r="I32" s="525"/>
    </row>
    <row r="33" spans="1:9" ht="18">
      <c r="A33" s="589"/>
      <c r="C33" s="543"/>
      <c r="E33" s="540"/>
      <c r="F33" s="536"/>
      <c r="G33" s="536"/>
      <c r="H33" s="542"/>
      <c r="I33" s="525"/>
    </row>
    <row r="34" spans="1:9" ht="18">
      <c r="A34" s="589" t="s">
        <v>165</v>
      </c>
      <c r="C34" s="543"/>
      <c r="E34" s="536"/>
      <c r="F34" s="536"/>
      <c r="G34" s="536"/>
      <c r="H34" s="542"/>
      <c r="I34" s="525"/>
    </row>
    <row r="35" spans="1:9" s="516" customFormat="1" ht="18">
      <c r="A35" s="588" t="s">
        <v>233</v>
      </c>
      <c r="B35" s="358"/>
      <c r="C35" s="529">
        <v>450051</v>
      </c>
      <c r="D35" s="358"/>
      <c r="E35" s="535">
        <v>105000</v>
      </c>
      <c r="F35" s="536"/>
      <c r="G35" s="536"/>
      <c r="H35" s="542"/>
      <c r="I35" s="537"/>
    </row>
    <row r="36" spans="1:9" s="516" customFormat="1" ht="18">
      <c r="A36" s="588" t="s">
        <v>234</v>
      </c>
      <c r="B36" s="358"/>
      <c r="C36" s="529">
        <v>450053</v>
      </c>
      <c r="D36" s="358"/>
      <c r="E36" s="535">
        <v>150000</v>
      </c>
      <c r="F36" s="536"/>
      <c r="G36" s="536"/>
      <c r="H36" s="542"/>
      <c r="I36" s="537"/>
    </row>
    <row r="37" spans="1:9" s="516" customFormat="1" ht="18">
      <c r="A37" s="589" t="s">
        <v>235</v>
      </c>
      <c r="B37" s="358"/>
      <c r="C37" s="543"/>
      <c r="D37" s="358"/>
      <c r="E37" s="539">
        <f>SUM(E35:E36)</f>
        <v>255000</v>
      </c>
      <c r="F37" s="536"/>
      <c r="G37" s="536"/>
      <c r="H37" s="524"/>
      <c r="I37" s="525"/>
    </row>
    <row r="38" spans="1:9" s="516" customFormat="1" ht="18.75" thickBot="1">
      <c r="A38" s="589"/>
      <c r="B38" s="358"/>
      <c r="C38" s="543"/>
      <c r="D38" s="358"/>
      <c r="E38" s="540"/>
      <c r="F38" s="536"/>
      <c r="G38" s="536"/>
      <c r="H38" s="524"/>
      <c r="I38" s="525"/>
    </row>
    <row r="39" spans="1:9" s="516" customFormat="1" ht="16.5" thickBot="1">
      <c r="A39" s="538" t="s">
        <v>236</v>
      </c>
      <c r="B39" s="358"/>
      <c r="C39" s="358"/>
      <c r="D39" s="358"/>
      <c r="E39" s="544">
        <v>3103040</v>
      </c>
      <c r="F39" s="545"/>
      <c r="G39" s="545"/>
      <c r="H39" s="393"/>
      <c r="I39" s="358"/>
    </row>
    <row r="40" spans="1:9" s="516" customFormat="1" ht="16.5" thickTop="1">
      <c r="A40" s="358"/>
      <c r="B40" s="358"/>
      <c r="C40" s="358"/>
      <c r="D40" s="358"/>
      <c r="E40" s="546"/>
      <c r="F40" s="547"/>
      <c r="G40" s="547"/>
      <c r="H40" s="393"/>
      <c r="I40" s="358"/>
    </row>
    <row r="41" spans="1:9" s="516" customFormat="1">
      <c r="A41" s="358"/>
      <c r="B41" s="358"/>
      <c r="C41" s="358"/>
      <c r="D41" s="358"/>
      <c r="E41" s="548"/>
      <c r="F41" s="549"/>
      <c r="G41" s="549"/>
      <c r="H41" s="393"/>
      <c r="I41" s="358"/>
    </row>
    <row r="42" spans="1:9" s="516" customFormat="1" ht="18">
      <c r="A42" s="358"/>
      <c r="B42" s="358"/>
      <c r="C42" s="358"/>
      <c r="D42" s="358"/>
      <c r="E42" s="428"/>
      <c r="F42" s="358"/>
      <c r="G42" s="358"/>
      <c r="H42" s="524"/>
      <c r="I42" s="537"/>
    </row>
    <row r="43" spans="1:9" s="516" customFormat="1" ht="18">
      <c r="A43" s="358"/>
      <c r="B43" s="358"/>
      <c r="C43" s="358"/>
      <c r="D43" s="358"/>
      <c r="E43" s="428"/>
      <c r="F43" s="358"/>
      <c r="G43" s="358"/>
      <c r="H43" s="524"/>
      <c r="I43" s="525"/>
    </row>
    <row r="44" spans="1:9" s="516" customFormat="1" ht="18">
      <c r="A44" s="358"/>
      <c r="B44" s="358"/>
      <c r="C44" s="358"/>
      <c r="D44" s="358"/>
      <c r="E44" s="358"/>
      <c r="F44" s="358"/>
      <c r="G44" s="358"/>
      <c r="H44" s="524"/>
      <c r="I44" s="537"/>
    </row>
    <row r="45" spans="1:9" s="516" customFormat="1" ht="18">
      <c r="A45" s="358"/>
      <c r="B45" s="358"/>
      <c r="C45" s="358"/>
      <c r="D45" s="358"/>
      <c r="E45" s="358"/>
      <c r="F45" s="358"/>
      <c r="G45" s="358"/>
      <c r="H45" s="524"/>
      <c r="I45" s="525"/>
    </row>
  </sheetData>
  <printOptions horizontalCentered="1"/>
  <pageMargins left="0.3" right="0.3" top="0.5" bottom="0.5" header="0.5" footer="0.5"/>
  <pageSetup orientation="portrait" r:id="rId1"/>
  <ignoredErrors>
    <ignoredError sqref="C24:C2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B464-6875-4C63-987E-704C30D75D7F}">
  <dimension ref="A1:IY26"/>
  <sheetViews>
    <sheetView showOutlineSymbols="0" view="pageBreakPreview" zoomScaleSheetLayoutView="100" workbookViewId="0">
      <selection activeCell="G9" sqref="G9"/>
    </sheetView>
  </sheetViews>
  <sheetFormatPr defaultColWidth="9.6640625" defaultRowHeight="12.75"/>
  <cols>
    <col min="1" max="1" width="15.77734375" style="393" customWidth="1"/>
    <col min="2" max="2" width="2" style="393" customWidth="1"/>
    <col min="3" max="3" width="27.77734375" style="393" customWidth="1"/>
    <col min="4" max="4" width="2" style="393" customWidth="1"/>
    <col min="5" max="5" width="15.77734375" style="393" customWidth="1"/>
    <col min="6" max="6" width="2" style="393" customWidth="1"/>
    <col min="7" max="7" width="15.77734375" style="393" customWidth="1"/>
    <col min="8" max="9" width="1.6640625" style="393" customWidth="1"/>
    <col min="10" max="16384" width="9.6640625" style="393"/>
  </cols>
  <sheetData>
    <row r="1" spans="1:259" ht="28.5">
      <c r="A1" s="550" t="s">
        <v>65</v>
      </c>
      <c r="B1" s="551"/>
      <c r="C1" s="552"/>
      <c r="D1" s="552"/>
      <c r="E1" s="552"/>
      <c r="F1" s="552"/>
      <c r="G1" s="552"/>
    </row>
    <row r="2" spans="1:259" ht="24.75">
      <c r="A2" s="436" t="s">
        <v>205</v>
      </c>
      <c r="B2" s="551"/>
      <c r="C2" s="552"/>
      <c r="D2" s="552"/>
      <c r="E2" s="552"/>
      <c r="F2" s="552"/>
      <c r="G2" s="552"/>
    </row>
    <row r="3" spans="1:259" ht="21.75">
      <c r="A3" s="553" t="s">
        <v>237</v>
      </c>
      <c r="B3" s="551"/>
      <c r="C3" s="552"/>
      <c r="D3" s="552"/>
      <c r="E3" s="552"/>
      <c r="F3" s="552"/>
      <c r="G3" s="552"/>
    </row>
    <row r="4" spans="1:259" ht="15" customHeight="1">
      <c r="A4" s="553"/>
      <c r="B4" s="551"/>
      <c r="C4" s="552"/>
      <c r="D4" s="552"/>
      <c r="E4" s="552"/>
      <c r="F4" s="552"/>
      <c r="G4" s="552"/>
    </row>
    <row r="5" spans="1:259" ht="18.75">
      <c r="A5" s="554" t="s">
        <v>148</v>
      </c>
      <c r="B5" s="551"/>
      <c r="C5" s="552"/>
      <c r="D5" s="552"/>
      <c r="E5" s="552"/>
      <c r="F5" s="552"/>
      <c r="G5" s="552"/>
    </row>
    <row r="6" spans="1:259" ht="15" customHeight="1">
      <c r="A6" s="552"/>
      <c r="B6" s="552"/>
      <c r="C6" s="552"/>
      <c r="D6" s="552"/>
      <c r="E6" s="552"/>
      <c r="F6" s="552"/>
      <c r="G6" s="552"/>
    </row>
    <row r="7" spans="1:259" ht="15" customHeight="1">
      <c r="B7" s="551"/>
      <c r="C7" s="552"/>
      <c r="D7" s="552"/>
      <c r="E7" s="552"/>
      <c r="F7" s="552"/>
      <c r="G7" s="552"/>
    </row>
    <row r="8" spans="1:259" ht="15" customHeight="1"/>
    <row r="9" spans="1:259" s="429" customFormat="1" ht="15" customHeight="1" thickBot="1">
      <c r="A9" s="555" t="s">
        <v>238</v>
      </c>
      <c r="B9" s="555"/>
      <c r="C9" s="555" t="s">
        <v>239</v>
      </c>
      <c r="D9" s="555"/>
      <c r="E9" s="555" t="s">
        <v>13</v>
      </c>
      <c r="F9" s="555"/>
      <c r="G9" s="555" t="s">
        <v>240</v>
      </c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0"/>
      <c r="DV9" s="500"/>
      <c r="DW9" s="500"/>
      <c r="DX9" s="500"/>
      <c r="DY9" s="500"/>
      <c r="DZ9" s="500"/>
      <c r="EA9" s="500"/>
      <c r="EB9" s="500"/>
      <c r="EC9" s="500"/>
      <c r="ED9" s="500"/>
      <c r="EE9" s="500"/>
      <c r="EF9" s="500"/>
      <c r="EG9" s="500"/>
      <c r="EH9" s="500"/>
      <c r="EI9" s="500"/>
      <c r="EJ9" s="500"/>
      <c r="EK9" s="500"/>
      <c r="EL9" s="500"/>
      <c r="EM9" s="500"/>
      <c r="EN9" s="500"/>
      <c r="EO9" s="500"/>
      <c r="EP9" s="500"/>
      <c r="EQ9" s="500"/>
      <c r="ER9" s="500"/>
      <c r="ES9" s="500"/>
      <c r="ET9" s="500"/>
      <c r="EU9" s="500"/>
      <c r="EV9" s="500"/>
      <c r="EW9" s="500"/>
      <c r="EX9" s="500"/>
      <c r="EY9" s="500"/>
      <c r="EZ9" s="500"/>
      <c r="FA9" s="500"/>
      <c r="FB9" s="500"/>
      <c r="FC9" s="500"/>
      <c r="FD9" s="500"/>
      <c r="FE9" s="500"/>
      <c r="FF9" s="500"/>
      <c r="FG9" s="500"/>
      <c r="FH9" s="500"/>
      <c r="FI9" s="500"/>
      <c r="FJ9" s="500"/>
      <c r="FK9" s="500"/>
      <c r="FL9" s="500"/>
      <c r="FM9" s="500"/>
      <c r="FN9" s="500"/>
      <c r="FO9" s="500"/>
      <c r="FP9" s="500"/>
      <c r="FQ9" s="500"/>
      <c r="FR9" s="500"/>
      <c r="FS9" s="500"/>
      <c r="FT9" s="500"/>
      <c r="FU9" s="500"/>
      <c r="FV9" s="500"/>
      <c r="FW9" s="500"/>
      <c r="FX9" s="500"/>
      <c r="FY9" s="500"/>
      <c r="FZ9" s="500"/>
      <c r="GA9" s="500"/>
      <c r="GB9" s="500"/>
      <c r="GC9" s="500"/>
      <c r="GD9" s="500"/>
      <c r="GE9" s="500"/>
      <c r="GF9" s="500"/>
      <c r="GG9" s="500"/>
      <c r="GH9" s="500"/>
      <c r="GI9" s="500"/>
      <c r="GJ9" s="500"/>
      <c r="GK9" s="500"/>
      <c r="GL9" s="500"/>
      <c r="GM9" s="500"/>
      <c r="GN9" s="500"/>
      <c r="GO9" s="500"/>
      <c r="GP9" s="500"/>
      <c r="GQ9" s="500"/>
      <c r="GR9" s="500"/>
      <c r="GS9" s="500"/>
      <c r="GT9" s="500"/>
      <c r="GU9" s="500"/>
      <c r="GV9" s="500"/>
      <c r="GW9" s="500"/>
      <c r="GX9" s="500"/>
      <c r="GY9" s="500"/>
      <c r="GZ9" s="500"/>
      <c r="HA9" s="500"/>
      <c r="HB9" s="500"/>
      <c r="HC9" s="500"/>
      <c r="HD9" s="500"/>
      <c r="HE9" s="500"/>
      <c r="HF9" s="500"/>
      <c r="HG9" s="500"/>
      <c r="HH9" s="500"/>
      <c r="HI9" s="500"/>
      <c r="HJ9" s="500"/>
      <c r="HK9" s="500"/>
      <c r="HL9" s="500"/>
      <c r="HM9" s="500"/>
      <c r="HN9" s="500"/>
      <c r="HO9" s="500"/>
      <c r="HP9" s="500"/>
      <c r="HQ9" s="500"/>
      <c r="HR9" s="500"/>
      <c r="HS9" s="500"/>
      <c r="HT9" s="500"/>
      <c r="HU9" s="500"/>
      <c r="HV9" s="500"/>
      <c r="HW9" s="500"/>
      <c r="HX9" s="500"/>
      <c r="HY9" s="500"/>
      <c r="HZ9" s="500"/>
      <c r="IA9" s="500"/>
      <c r="IB9" s="500"/>
      <c r="IC9" s="500"/>
      <c r="ID9" s="500"/>
      <c r="IE9" s="500"/>
      <c r="IF9" s="500"/>
      <c r="IG9" s="500"/>
      <c r="IH9" s="500"/>
      <c r="II9" s="500"/>
      <c r="IJ9" s="500"/>
      <c r="IK9" s="500"/>
      <c r="IL9" s="500"/>
      <c r="IM9" s="500"/>
      <c r="IN9" s="500"/>
      <c r="IO9" s="500"/>
      <c r="IP9" s="500"/>
      <c r="IQ9" s="500"/>
      <c r="IR9" s="500"/>
      <c r="IS9" s="500"/>
      <c r="IT9" s="500"/>
      <c r="IU9" s="500"/>
      <c r="IV9" s="500"/>
      <c r="IW9" s="500"/>
      <c r="IX9" s="500"/>
      <c r="IY9" s="500"/>
    </row>
    <row r="10" spans="1:259" s="429" customFormat="1" ht="15" customHeight="1">
      <c r="A10" s="586"/>
      <c r="B10" s="500"/>
      <c r="C10" s="556"/>
      <c r="E10" s="556"/>
      <c r="G10" s="556"/>
    </row>
    <row r="11" spans="1:259" ht="15" customHeight="1">
      <c r="A11" s="587" t="s">
        <v>243</v>
      </c>
      <c r="B11" s="500"/>
      <c r="C11" s="559" t="s">
        <v>241</v>
      </c>
      <c r="D11" s="429"/>
      <c r="E11" s="560">
        <v>3963217</v>
      </c>
      <c r="F11" s="513"/>
      <c r="G11" s="560">
        <v>2400166</v>
      </c>
    </row>
    <row r="12" spans="1:259" ht="15" customHeight="1">
      <c r="A12" s="559"/>
      <c r="B12" s="429"/>
      <c r="C12" s="559" t="s">
        <v>242</v>
      </c>
      <c r="D12" s="429"/>
      <c r="E12" s="560">
        <v>3963217</v>
      </c>
      <c r="F12" s="513"/>
      <c r="G12" s="560">
        <v>2219495</v>
      </c>
    </row>
    <row r="13" spans="1:259" ht="15" customHeight="1">
      <c r="A13" s="559"/>
      <c r="B13" s="429"/>
      <c r="C13" s="559"/>
      <c r="D13" s="429"/>
      <c r="E13" s="560"/>
      <c r="F13" s="513"/>
      <c r="G13" s="561"/>
    </row>
    <row r="14" spans="1:259" ht="15" customHeight="1">
      <c r="A14" s="558" t="s">
        <v>244</v>
      </c>
      <c r="B14" s="500"/>
      <c r="C14" s="559" t="s">
        <v>241</v>
      </c>
      <c r="D14" s="429"/>
      <c r="E14" s="562">
        <v>3519251</v>
      </c>
      <c r="F14" s="513"/>
      <c r="G14" s="560">
        <v>3519251</v>
      </c>
      <c r="J14" s="563"/>
    </row>
    <row r="15" spans="1:259" ht="15" customHeight="1">
      <c r="A15" s="559"/>
      <c r="B15" s="429"/>
      <c r="C15" s="559" t="s">
        <v>242</v>
      </c>
      <c r="D15" s="429"/>
      <c r="E15" s="562">
        <v>3519251</v>
      </c>
      <c r="F15" s="513"/>
      <c r="G15" s="560">
        <v>3519251</v>
      </c>
    </row>
    <row r="16" spans="1:259" ht="15" customHeight="1">
      <c r="A16" s="559"/>
      <c r="B16" s="429"/>
      <c r="C16" s="559"/>
      <c r="D16" s="429"/>
      <c r="E16" s="560"/>
      <c r="F16" s="513"/>
      <c r="G16" s="561"/>
    </row>
    <row r="17" spans="1:7" ht="15" customHeight="1">
      <c r="A17" s="558" t="s">
        <v>245</v>
      </c>
      <c r="B17" s="500"/>
      <c r="C17" s="559" t="s">
        <v>241</v>
      </c>
      <c r="D17" s="429"/>
      <c r="E17" s="562">
        <v>3185129</v>
      </c>
      <c r="F17" s="513"/>
      <c r="G17" s="560"/>
    </row>
    <row r="18" spans="1:7" ht="15" customHeight="1">
      <c r="A18" s="559"/>
      <c r="B18" s="429"/>
      <c r="C18" s="559" t="s">
        <v>242</v>
      </c>
      <c r="D18" s="429"/>
      <c r="E18" s="562">
        <v>3185129</v>
      </c>
      <c r="F18" s="513"/>
      <c r="G18" s="560"/>
    </row>
    <row r="19" spans="1:7" ht="15" customHeight="1"/>
    <row r="20" spans="1:7" ht="15" customHeight="1">
      <c r="A20" s="429" t="s">
        <v>246</v>
      </c>
    </row>
    <row r="21" spans="1:7" ht="15" customHeight="1">
      <c r="A21" s="429" t="s">
        <v>247</v>
      </c>
    </row>
    <row r="22" spans="1:7" ht="15" customHeight="1">
      <c r="C22" s="552"/>
      <c r="D22" s="552"/>
      <c r="E22" s="552"/>
      <c r="F22" s="552"/>
    </row>
    <row r="23" spans="1:7" ht="15" customHeight="1">
      <c r="A23" s="503" t="s">
        <v>248</v>
      </c>
      <c r="B23" s="552"/>
      <c r="C23" s="552"/>
      <c r="D23" s="552"/>
      <c r="E23" s="552"/>
      <c r="F23" s="552"/>
      <c r="G23" s="552"/>
    </row>
    <row r="24" spans="1:7" ht="15" customHeight="1">
      <c r="A24" s="503" t="s">
        <v>249</v>
      </c>
    </row>
    <row r="25" spans="1:7" ht="15" customHeight="1">
      <c r="A25" s="503" t="s">
        <v>250</v>
      </c>
    </row>
    <row r="26" spans="1:7" ht="15" customHeight="1">
      <c r="A26" s="503" t="s">
        <v>251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8E70-EF05-4BE8-8FC3-2288731B2DE6}">
  <dimension ref="B1:J26"/>
  <sheetViews>
    <sheetView showOutlineSymbols="0" view="pageBreakPreview" zoomScaleSheetLayoutView="100" workbookViewId="0">
      <selection activeCell="O23" sqref="O23"/>
    </sheetView>
  </sheetViews>
  <sheetFormatPr defaultColWidth="9.6640625" defaultRowHeight="12.75"/>
  <cols>
    <col min="1" max="1" width="9.6640625" style="393"/>
    <col min="2" max="2" width="15.77734375" style="543" customWidth="1"/>
    <col min="3" max="3" width="2" style="543" customWidth="1"/>
    <col min="4" max="4" width="38.109375" style="393" customWidth="1"/>
    <col min="5" max="5" width="2" style="393" customWidth="1"/>
    <col min="6" max="6" width="15.77734375" style="393" customWidth="1"/>
    <col min="7" max="7" width="2" style="393" customWidth="1"/>
    <col min="8" max="8" width="15.77734375" style="393" customWidth="1"/>
    <col min="9" max="16384" width="9.6640625" style="393"/>
  </cols>
  <sheetData>
    <row r="1" spans="2:10" ht="28.5">
      <c r="B1" s="564" t="s">
        <v>65</v>
      </c>
      <c r="C1" s="551"/>
      <c r="D1" s="552"/>
      <c r="E1" s="552"/>
      <c r="F1" s="552"/>
      <c r="G1" s="552"/>
      <c r="H1" s="552"/>
    </row>
    <row r="2" spans="2:10" ht="24.75">
      <c r="B2" s="436" t="s">
        <v>206</v>
      </c>
      <c r="C2" s="551"/>
      <c r="D2" s="552"/>
      <c r="E2" s="552"/>
      <c r="F2" s="552"/>
      <c r="G2" s="552"/>
      <c r="H2" s="552"/>
    </row>
    <row r="3" spans="2:10" ht="22.5">
      <c r="B3" s="565" t="s">
        <v>237</v>
      </c>
      <c r="C3" s="551"/>
      <c r="D3" s="552"/>
      <c r="E3" s="552"/>
      <c r="F3" s="552"/>
      <c r="G3" s="552"/>
      <c r="H3" s="552"/>
    </row>
    <row r="4" spans="2:10" ht="15" customHeight="1">
      <c r="B4" s="565"/>
      <c r="C4" s="551"/>
      <c r="D4" s="552"/>
      <c r="E4" s="552"/>
      <c r="F4" s="552"/>
      <c r="G4" s="552"/>
      <c r="H4" s="552"/>
    </row>
    <row r="5" spans="2:10" ht="18.75">
      <c r="B5" s="554" t="s">
        <v>148</v>
      </c>
      <c r="C5" s="551"/>
      <c r="D5" s="552"/>
      <c r="E5" s="552"/>
      <c r="F5" s="552"/>
      <c r="G5" s="552"/>
      <c r="H5" s="552"/>
    </row>
    <row r="6" spans="2:10" ht="15" customHeight="1">
      <c r="B6" s="552"/>
      <c r="C6" s="552"/>
      <c r="D6" s="552"/>
      <c r="E6" s="552"/>
      <c r="F6" s="552"/>
      <c r="G6" s="552"/>
      <c r="H6" s="552"/>
    </row>
    <row r="7" spans="2:10" ht="15" customHeight="1">
      <c r="B7" s="393"/>
      <c r="C7" s="551"/>
      <c r="D7" s="552"/>
      <c r="E7" s="552"/>
      <c r="F7" s="552"/>
      <c r="G7" s="552"/>
      <c r="H7" s="552"/>
    </row>
    <row r="8" spans="2:10" ht="15" customHeight="1"/>
    <row r="9" spans="2:10" ht="15" customHeight="1" thickBot="1">
      <c r="B9" s="555" t="s">
        <v>238</v>
      </c>
      <c r="C9" s="555"/>
      <c r="D9" s="555" t="s">
        <v>252</v>
      </c>
      <c r="E9" s="555"/>
      <c r="F9" s="555" t="s">
        <v>13</v>
      </c>
      <c r="G9" s="555"/>
      <c r="H9" s="555" t="s">
        <v>253</v>
      </c>
    </row>
    <row r="10" spans="2:10" ht="15" customHeight="1">
      <c r="B10" s="586"/>
      <c r="C10" s="500"/>
      <c r="D10" s="556"/>
      <c r="E10" s="429"/>
      <c r="F10" s="556"/>
      <c r="G10" s="429"/>
      <c r="H10" s="556"/>
    </row>
    <row r="11" spans="2:10" ht="18" customHeight="1">
      <c r="B11" s="587" t="s">
        <v>243</v>
      </c>
      <c r="C11" s="500"/>
      <c r="D11" s="559" t="s">
        <v>254</v>
      </c>
      <c r="E11" s="429"/>
      <c r="F11" s="560">
        <v>176195958</v>
      </c>
      <c r="G11" s="513"/>
      <c r="H11" s="560">
        <v>88503018</v>
      </c>
    </row>
    <row r="12" spans="2:10" ht="18" customHeight="1">
      <c r="B12" s="559"/>
      <c r="C12" s="429"/>
      <c r="D12" s="559" t="s">
        <v>242</v>
      </c>
      <c r="E12" s="429"/>
      <c r="F12" s="560">
        <v>176195958</v>
      </c>
      <c r="G12" s="513"/>
      <c r="H12" s="560">
        <v>87740820</v>
      </c>
    </row>
    <row r="13" spans="2:10" ht="18" customHeight="1">
      <c r="B13" s="559"/>
      <c r="C13" s="429"/>
      <c r="D13" s="559"/>
      <c r="E13" s="429"/>
      <c r="F13" s="560"/>
      <c r="G13" s="513"/>
      <c r="H13" s="560"/>
    </row>
    <row r="14" spans="2:10" ht="18" customHeight="1">
      <c r="B14" s="558" t="s">
        <v>244</v>
      </c>
      <c r="C14" s="500"/>
      <c r="D14" s="559" t="s">
        <v>254</v>
      </c>
      <c r="E14" s="429"/>
      <c r="F14" s="560">
        <v>109408572</v>
      </c>
      <c r="G14" s="513"/>
      <c r="H14" s="560">
        <v>109408572</v>
      </c>
      <c r="J14" s="563"/>
    </row>
    <row r="15" spans="2:10" ht="18" customHeight="1">
      <c r="B15" s="559"/>
      <c r="C15" s="429"/>
      <c r="D15" s="559" t="s">
        <v>242</v>
      </c>
      <c r="E15" s="429"/>
      <c r="F15" s="560">
        <v>109408572</v>
      </c>
      <c r="G15" s="513"/>
      <c r="H15" s="560">
        <v>109408572</v>
      </c>
    </row>
    <row r="16" spans="2:10" ht="18" customHeight="1">
      <c r="B16" s="429"/>
      <c r="C16" s="429"/>
      <c r="D16" s="429"/>
      <c r="E16" s="429"/>
      <c r="F16" s="557"/>
      <c r="G16" s="513"/>
      <c r="H16" s="557"/>
    </row>
    <row r="17" spans="2:8" ht="18" customHeight="1">
      <c r="B17" s="558" t="s">
        <v>245</v>
      </c>
      <c r="C17" s="500"/>
      <c r="D17" s="559" t="s">
        <v>254</v>
      </c>
      <c r="E17" s="429"/>
      <c r="F17" s="560">
        <v>77479672</v>
      </c>
      <c r="G17" s="513"/>
      <c r="H17" s="560"/>
    </row>
    <row r="18" spans="2:8" ht="18" customHeight="1">
      <c r="B18" s="559"/>
      <c r="C18" s="429"/>
      <c r="D18" s="559" t="s">
        <v>242</v>
      </c>
      <c r="E18" s="429"/>
      <c r="F18" s="560">
        <v>77479672</v>
      </c>
      <c r="G18" s="513"/>
      <c r="H18" s="560"/>
    </row>
    <row r="19" spans="2:8" ht="18" customHeight="1">
      <c r="B19" s="429"/>
      <c r="C19" s="429"/>
      <c r="D19" s="429"/>
      <c r="E19" s="429"/>
      <c r="F19" s="557"/>
      <c r="G19" s="513"/>
      <c r="H19" s="557"/>
    </row>
    <row r="20" spans="2:8" ht="18" customHeight="1">
      <c r="B20" s="429"/>
      <c r="C20" s="429"/>
      <c r="D20" s="429"/>
      <c r="E20" s="429"/>
      <c r="F20" s="557"/>
      <c r="G20" s="513"/>
      <c r="H20" s="557"/>
    </row>
    <row r="21" spans="2:8" ht="15" customHeight="1">
      <c r="B21" s="503" t="s">
        <v>255</v>
      </c>
      <c r="C21" s="503"/>
      <c r="D21" s="429"/>
      <c r="E21" s="429"/>
      <c r="F21" s="429"/>
      <c r="G21" s="429"/>
      <c r="H21" s="429"/>
    </row>
    <row r="25" spans="2:8" ht="15">
      <c r="B25" s="503" t="s">
        <v>256</v>
      </c>
    </row>
    <row r="26" spans="2:8" ht="15">
      <c r="B26" s="503" t="s">
        <v>257</v>
      </c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D9BF-06AD-44AF-B02B-9D76A110E393}">
  <dimension ref="A1:IY26"/>
  <sheetViews>
    <sheetView showOutlineSymbols="0" view="pageBreakPreview" zoomScaleSheetLayoutView="100" workbookViewId="0">
      <selection activeCell="G9" sqref="G9"/>
    </sheetView>
  </sheetViews>
  <sheetFormatPr defaultColWidth="9.6640625" defaultRowHeight="12.75"/>
  <cols>
    <col min="1" max="1" width="15.77734375" style="393" customWidth="1"/>
    <col min="2" max="2" width="2" style="393" customWidth="1"/>
    <col min="3" max="3" width="27.77734375" style="393" customWidth="1"/>
    <col min="4" max="4" width="2" style="393" customWidth="1"/>
    <col min="5" max="5" width="15.77734375" style="393" customWidth="1"/>
    <col min="6" max="6" width="2" style="393" customWidth="1"/>
    <col min="7" max="7" width="15.77734375" style="393" customWidth="1"/>
    <col min="8" max="9" width="1.6640625" style="393" customWidth="1"/>
    <col min="10" max="16384" width="9.6640625" style="393"/>
  </cols>
  <sheetData>
    <row r="1" spans="1:259" ht="28.5">
      <c r="A1" s="550" t="s">
        <v>65</v>
      </c>
      <c r="B1" s="551"/>
      <c r="C1" s="552"/>
      <c r="D1" s="552"/>
      <c r="E1" s="552"/>
      <c r="F1" s="552"/>
      <c r="G1" s="552"/>
    </row>
    <row r="2" spans="1:259" ht="24.75">
      <c r="A2" s="436" t="s">
        <v>207</v>
      </c>
      <c r="B2" s="551"/>
      <c r="C2" s="552"/>
      <c r="D2" s="552"/>
      <c r="E2" s="552"/>
      <c r="F2" s="552"/>
      <c r="G2" s="552"/>
    </row>
    <row r="3" spans="1:259" ht="21.75">
      <c r="A3" s="553" t="s">
        <v>237</v>
      </c>
      <c r="B3" s="551"/>
      <c r="C3" s="552"/>
      <c r="D3" s="552"/>
      <c r="E3" s="552"/>
      <c r="F3" s="552"/>
      <c r="G3" s="552"/>
    </row>
    <row r="4" spans="1:259" ht="15" customHeight="1">
      <c r="A4" s="553"/>
      <c r="B4" s="551"/>
      <c r="C4" s="552"/>
      <c r="D4" s="552"/>
      <c r="E4" s="552"/>
      <c r="F4" s="552"/>
      <c r="G4" s="552"/>
    </row>
    <row r="5" spans="1:259" ht="18.75">
      <c r="A5" s="554" t="s">
        <v>148</v>
      </c>
      <c r="B5" s="551"/>
      <c r="C5" s="552"/>
      <c r="D5" s="552"/>
      <c r="E5" s="552"/>
      <c r="F5" s="552"/>
      <c r="G5" s="552"/>
    </row>
    <row r="6" spans="1:259" ht="15" customHeight="1">
      <c r="A6" s="552"/>
      <c r="B6" s="552"/>
      <c r="C6" s="552"/>
      <c r="D6" s="552"/>
      <c r="E6" s="552"/>
      <c r="F6" s="552"/>
      <c r="G6" s="552"/>
    </row>
    <row r="7" spans="1:259" ht="15" customHeight="1">
      <c r="B7" s="551"/>
      <c r="C7" s="552"/>
      <c r="D7" s="552"/>
      <c r="E7" s="552"/>
      <c r="F7" s="552"/>
      <c r="G7" s="552"/>
    </row>
    <row r="8" spans="1:259" ht="15" customHeight="1"/>
    <row r="9" spans="1:259" s="429" customFormat="1" ht="15" customHeight="1" thickBot="1">
      <c r="A9" s="555" t="s">
        <v>238</v>
      </c>
      <c r="B9" s="555"/>
      <c r="C9" s="555" t="s">
        <v>239</v>
      </c>
      <c r="D9" s="555"/>
      <c r="E9" s="555" t="s">
        <v>13</v>
      </c>
      <c r="F9" s="555"/>
      <c r="G9" s="555" t="s">
        <v>240</v>
      </c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0"/>
      <c r="DV9" s="500"/>
      <c r="DW9" s="500"/>
      <c r="DX9" s="500"/>
      <c r="DY9" s="500"/>
      <c r="DZ9" s="500"/>
      <c r="EA9" s="500"/>
      <c r="EB9" s="500"/>
      <c r="EC9" s="500"/>
      <c r="ED9" s="500"/>
      <c r="EE9" s="500"/>
      <c r="EF9" s="500"/>
      <c r="EG9" s="500"/>
      <c r="EH9" s="500"/>
      <c r="EI9" s="500"/>
      <c r="EJ9" s="500"/>
      <c r="EK9" s="500"/>
      <c r="EL9" s="500"/>
      <c r="EM9" s="500"/>
      <c r="EN9" s="500"/>
      <c r="EO9" s="500"/>
      <c r="EP9" s="500"/>
      <c r="EQ9" s="500"/>
      <c r="ER9" s="500"/>
      <c r="ES9" s="500"/>
      <c r="ET9" s="500"/>
      <c r="EU9" s="500"/>
      <c r="EV9" s="500"/>
      <c r="EW9" s="500"/>
      <c r="EX9" s="500"/>
      <c r="EY9" s="500"/>
      <c r="EZ9" s="500"/>
      <c r="FA9" s="500"/>
      <c r="FB9" s="500"/>
      <c r="FC9" s="500"/>
      <c r="FD9" s="500"/>
      <c r="FE9" s="500"/>
      <c r="FF9" s="500"/>
      <c r="FG9" s="500"/>
      <c r="FH9" s="500"/>
      <c r="FI9" s="500"/>
      <c r="FJ9" s="500"/>
      <c r="FK9" s="500"/>
      <c r="FL9" s="500"/>
      <c r="FM9" s="500"/>
      <c r="FN9" s="500"/>
      <c r="FO9" s="500"/>
      <c r="FP9" s="500"/>
      <c r="FQ9" s="500"/>
      <c r="FR9" s="500"/>
      <c r="FS9" s="500"/>
      <c r="FT9" s="500"/>
      <c r="FU9" s="500"/>
      <c r="FV9" s="500"/>
      <c r="FW9" s="500"/>
      <c r="FX9" s="500"/>
      <c r="FY9" s="500"/>
      <c r="FZ9" s="500"/>
      <c r="GA9" s="500"/>
      <c r="GB9" s="500"/>
      <c r="GC9" s="500"/>
      <c r="GD9" s="500"/>
      <c r="GE9" s="500"/>
      <c r="GF9" s="500"/>
      <c r="GG9" s="500"/>
      <c r="GH9" s="500"/>
      <c r="GI9" s="500"/>
      <c r="GJ9" s="500"/>
      <c r="GK9" s="500"/>
      <c r="GL9" s="500"/>
      <c r="GM9" s="500"/>
      <c r="GN9" s="500"/>
      <c r="GO9" s="500"/>
      <c r="GP9" s="500"/>
      <c r="GQ9" s="500"/>
      <c r="GR9" s="500"/>
      <c r="GS9" s="500"/>
      <c r="GT9" s="500"/>
      <c r="GU9" s="500"/>
      <c r="GV9" s="500"/>
      <c r="GW9" s="500"/>
      <c r="GX9" s="500"/>
      <c r="GY9" s="500"/>
      <c r="GZ9" s="500"/>
      <c r="HA9" s="500"/>
      <c r="HB9" s="500"/>
      <c r="HC9" s="500"/>
      <c r="HD9" s="500"/>
      <c r="HE9" s="500"/>
      <c r="HF9" s="500"/>
      <c r="HG9" s="500"/>
      <c r="HH9" s="500"/>
      <c r="HI9" s="500"/>
      <c r="HJ9" s="500"/>
      <c r="HK9" s="500"/>
      <c r="HL9" s="500"/>
      <c r="HM9" s="500"/>
      <c r="HN9" s="500"/>
      <c r="HO9" s="500"/>
      <c r="HP9" s="500"/>
      <c r="HQ9" s="500"/>
      <c r="HR9" s="500"/>
      <c r="HS9" s="500"/>
      <c r="HT9" s="500"/>
      <c r="HU9" s="500"/>
      <c r="HV9" s="500"/>
      <c r="HW9" s="500"/>
      <c r="HX9" s="500"/>
      <c r="HY9" s="500"/>
      <c r="HZ9" s="500"/>
      <c r="IA9" s="500"/>
      <c r="IB9" s="500"/>
      <c r="IC9" s="500"/>
      <c r="ID9" s="500"/>
      <c r="IE9" s="500"/>
      <c r="IF9" s="500"/>
      <c r="IG9" s="500"/>
      <c r="IH9" s="500"/>
      <c r="II9" s="500"/>
      <c r="IJ9" s="500"/>
      <c r="IK9" s="500"/>
      <c r="IL9" s="500"/>
      <c r="IM9" s="500"/>
      <c r="IN9" s="500"/>
      <c r="IO9" s="500"/>
      <c r="IP9" s="500"/>
      <c r="IQ9" s="500"/>
      <c r="IR9" s="500"/>
      <c r="IS9" s="500"/>
      <c r="IT9" s="500"/>
      <c r="IU9" s="500"/>
      <c r="IV9" s="500"/>
      <c r="IW9" s="500"/>
      <c r="IX9" s="500"/>
      <c r="IY9" s="500"/>
    </row>
    <row r="10" spans="1:259" s="429" customFormat="1" ht="15" customHeight="1">
      <c r="A10" s="586"/>
      <c r="B10" s="500"/>
      <c r="C10" s="556"/>
      <c r="E10" s="556"/>
      <c r="G10" s="556"/>
    </row>
    <row r="11" spans="1:259" ht="15" customHeight="1">
      <c r="A11" s="587" t="s">
        <v>243</v>
      </c>
      <c r="B11" s="500"/>
      <c r="C11" s="559" t="s">
        <v>241</v>
      </c>
      <c r="D11" s="429"/>
      <c r="E11" s="560">
        <v>300</v>
      </c>
      <c r="F11" s="513"/>
      <c r="G11" s="560">
        <v>460</v>
      </c>
    </row>
    <row r="12" spans="1:259" ht="15" customHeight="1">
      <c r="A12" s="559"/>
      <c r="B12" s="429"/>
      <c r="C12" s="559" t="s">
        <v>242</v>
      </c>
      <c r="D12" s="429"/>
      <c r="E12" s="560">
        <v>300</v>
      </c>
      <c r="F12" s="513"/>
      <c r="G12" s="560">
        <v>460</v>
      </c>
    </row>
    <row r="13" spans="1:259" ht="15" customHeight="1">
      <c r="A13" s="559"/>
      <c r="B13" s="429"/>
      <c r="C13" s="559"/>
      <c r="D13" s="429"/>
      <c r="E13" s="560"/>
      <c r="F13" s="513"/>
      <c r="G13" s="561"/>
    </row>
    <row r="14" spans="1:259" ht="15" customHeight="1">
      <c r="A14" s="558" t="s">
        <v>244</v>
      </c>
      <c r="B14" s="500"/>
      <c r="C14" s="559" t="s">
        <v>241</v>
      </c>
      <c r="D14" s="429"/>
      <c r="E14" s="562">
        <v>450</v>
      </c>
      <c r="F14" s="513"/>
      <c r="G14" s="560">
        <v>12173</v>
      </c>
      <c r="J14" s="563"/>
    </row>
    <row r="15" spans="1:259" ht="15" customHeight="1">
      <c r="A15" s="559"/>
      <c r="B15" s="429"/>
      <c r="C15" s="559" t="s">
        <v>242</v>
      </c>
      <c r="D15" s="429"/>
      <c r="E15" s="562">
        <v>450</v>
      </c>
      <c r="F15" s="513"/>
      <c r="G15" s="560">
        <v>12173</v>
      </c>
    </row>
    <row r="16" spans="1:259" ht="15" customHeight="1">
      <c r="A16" s="559"/>
      <c r="B16" s="429"/>
      <c r="C16" s="559"/>
      <c r="D16" s="429"/>
      <c r="E16" s="560"/>
      <c r="F16" s="513"/>
      <c r="G16" s="561"/>
    </row>
    <row r="17" spans="1:7" ht="15" customHeight="1">
      <c r="A17" s="558" t="s">
        <v>245</v>
      </c>
      <c r="B17" s="500"/>
      <c r="C17" s="559" t="s">
        <v>241</v>
      </c>
      <c r="D17" s="429"/>
      <c r="E17" s="562">
        <v>8000</v>
      </c>
      <c r="F17" s="513"/>
      <c r="G17" s="560"/>
    </row>
    <row r="18" spans="1:7" ht="15" customHeight="1">
      <c r="A18" s="559"/>
      <c r="B18" s="429"/>
      <c r="C18" s="559" t="s">
        <v>242</v>
      </c>
      <c r="D18" s="429"/>
      <c r="E18" s="562">
        <v>8000</v>
      </c>
      <c r="F18" s="513"/>
      <c r="G18" s="560"/>
    </row>
    <row r="19" spans="1:7" ht="15" customHeight="1"/>
    <row r="20" spans="1:7" ht="15" customHeight="1">
      <c r="A20" s="429" t="s">
        <v>246</v>
      </c>
    </row>
    <row r="21" spans="1:7" ht="15" customHeight="1">
      <c r="A21" s="429" t="s">
        <v>247</v>
      </c>
    </row>
    <row r="22" spans="1:7" ht="15" customHeight="1">
      <c r="C22" s="552"/>
      <c r="D22" s="552"/>
      <c r="E22" s="552"/>
      <c r="F22" s="552"/>
    </row>
    <row r="23" spans="1:7" ht="15" customHeight="1">
      <c r="A23" s="503" t="s">
        <v>258</v>
      </c>
      <c r="B23" s="552"/>
      <c r="C23" s="552"/>
      <c r="D23" s="552"/>
      <c r="E23" s="552"/>
      <c r="F23" s="552"/>
      <c r="G23" s="552"/>
    </row>
    <row r="24" spans="1:7" ht="15" customHeight="1">
      <c r="A24" s="503"/>
    </row>
    <row r="25" spans="1:7" ht="15" customHeight="1">
      <c r="A25" s="503"/>
    </row>
    <row r="26" spans="1:7" ht="15" customHeight="1">
      <c r="A26" s="503"/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2661-39BE-41E0-80BA-8B679FADDB2A}">
  <dimension ref="A1:IV48"/>
  <sheetViews>
    <sheetView showOutlineSymbols="0" view="pageBreakPreview" zoomScale="85" zoomScaleNormal="100" zoomScaleSheetLayoutView="85" workbookViewId="0">
      <selection activeCell="P21" sqref="P21"/>
    </sheetView>
  </sheetViews>
  <sheetFormatPr defaultColWidth="9.6640625" defaultRowHeight="12.75"/>
  <cols>
    <col min="1" max="1" width="31.77734375" style="393" customWidth="1"/>
    <col min="2" max="2" width="2.77734375" style="393" customWidth="1"/>
    <col min="3" max="3" width="15.77734375" style="393" customWidth="1"/>
    <col min="4" max="4" width="2.77734375" style="393" customWidth="1"/>
    <col min="5" max="5" width="15.77734375" style="393" customWidth="1"/>
    <col min="6" max="16384" width="9.6640625" style="393"/>
  </cols>
  <sheetData>
    <row r="1" spans="1:256" ht="23.25">
      <c r="A1" s="495" t="s">
        <v>65</v>
      </c>
      <c r="B1" s="551"/>
      <c r="C1" s="552"/>
      <c r="D1" s="552"/>
      <c r="E1" s="552"/>
    </row>
    <row r="2" spans="1:256" ht="21">
      <c r="A2" s="496" t="s">
        <v>259</v>
      </c>
      <c r="B2" s="551"/>
      <c r="C2" s="552"/>
      <c r="D2" s="552"/>
      <c r="E2" s="552"/>
    </row>
    <row r="3" spans="1:256" ht="18.75">
      <c r="A3" s="497" t="s">
        <v>260</v>
      </c>
      <c r="B3" s="551"/>
      <c r="C3" s="552"/>
      <c r="D3" s="552"/>
      <c r="E3" s="552"/>
    </row>
    <row r="4" spans="1:256" ht="15.75" customHeight="1">
      <c r="B4" s="551"/>
      <c r="C4" s="552"/>
      <c r="D4" s="552"/>
      <c r="E4" s="552"/>
    </row>
    <row r="5" spans="1:256" ht="15.75">
      <c r="A5" s="356" t="s">
        <v>155</v>
      </c>
      <c r="B5" s="552"/>
      <c r="C5" s="552"/>
      <c r="D5" s="552"/>
      <c r="E5" s="552"/>
    </row>
    <row r="6" spans="1:256" ht="15.75" customHeight="1">
      <c r="B6" s="551"/>
      <c r="C6" s="552"/>
      <c r="D6" s="552"/>
      <c r="E6" s="552"/>
    </row>
    <row r="7" spans="1:256" ht="15.75" customHeight="1"/>
    <row r="8" spans="1:256" ht="30.75" thickBot="1">
      <c r="A8" s="567" t="s">
        <v>202</v>
      </c>
      <c r="B8" s="498"/>
      <c r="C8" s="567" t="s">
        <v>203</v>
      </c>
      <c r="D8" s="498"/>
      <c r="E8" s="567" t="s">
        <v>242</v>
      </c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3"/>
      <c r="DA8" s="543"/>
      <c r="DB8" s="543"/>
      <c r="DC8" s="543"/>
      <c r="DD8" s="543"/>
      <c r="DE8" s="543"/>
      <c r="DF8" s="543"/>
      <c r="DG8" s="543"/>
      <c r="DH8" s="543"/>
      <c r="DI8" s="543"/>
      <c r="DJ8" s="543"/>
      <c r="DK8" s="543"/>
      <c r="DL8" s="543"/>
      <c r="DM8" s="543"/>
      <c r="DN8" s="543"/>
      <c r="DO8" s="543"/>
      <c r="DP8" s="543"/>
      <c r="DQ8" s="543"/>
      <c r="DR8" s="543"/>
      <c r="DS8" s="543"/>
      <c r="DT8" s="543"/>
      <c r="DU8" s="543"/>
      <c r="DV8" s="543"/>
      <c r="DW8" s="543"/>
      <c r="DX8" s="543"/>
      <c r="DY8" s="543"/>
      <c r="DZ8" s="543"/>
      <c r="EA8" s="543"/>
      <c r="EB8" s="543"/>
      <c r="EC8" s="543"/>
      <c r="ED8" s="543"/>
      <c r="EE8" s="543"/>
      <c r="EF8" s="543"/>
      <c r="EG8" s="543"/>
      <c r="EH8" s="543"/>
      <c r="EI8" s="543"/>
      <c r="EJ8" s="543"/>
      <c r="EK8" s="543"/>
      <c r="EL8" s="543"/>
      <c r="EM8" s="543"/>
      <c r="EN8" s="543"/>
      <c r="EO8" s="543"/>
      <c r="EP8" s="543"/>
      <c r="EQ8" s="543"/>
      <c r="ER8" s="543"/>
      <c r="ES8" s="543"/>
      <c r="ET8" s="543"/>
      <c r="EU8" s="543"/>
      <c r="EV8" s="543"/>
      <c r="EW8" s="543"/>
      <c r="EX8" s="543"/>
      <c r="EY8" s="543"/>
      <c r="EZ8" s="543"/>
      <c r="FA8" s="543"/>
      <c r="FB8" s="543"/>
      <c r="FC8" s="543"/>
      <c r="FD8" s="543"/>
      <c r="FE8" s="543"/>
      <c r="FF8" s="543"/>
      <c r="FG8" s="543"/>
      <c r="FH8" s="543"/>
      <c r="FI8" s="543"/>
      <c r="FJ8" s="543"/>
      <c r="FK8" s="543"/>
      <c r="FL8" s="543"/>
      <c r="FM8" s="543"/>
      <c r="FN8" s="543"/>
      <c r="FO8" s="543"/>
      <c r="FP8" s="543"/>
      <c r="FQ8" s="543"/>
      <c r="FR8" s="543"/>
      <c r="FS8" s="543"/>
      <c r="FT8" s="543"/>
      <c r="FU8" s="543"/>
      <c r="FV8" s="543"/>
      <c r="FW8" s="543"/>
      <c r="FX8" s="543"/>
      <c r="FY8" s="543"/>
      <c r="FZ8" s="543"/>
      <c r="GA8" s="543"/>
      <c r="GB8" s="543"/>
      <c r="GC8" s="543"/>
      <c r="GD8" s="543"/>
      <c r="GE8" s="543"/>
      <c r="GF8" s="543"/>
      <c r="GG8" s="543"/>
      <c r="GH8" s="543"/>
      <c r="GI8" s="543"/>
      <c r="GJ8" s="543"/>
      <c r="GK8" s="543"/>
      <c r="GL8" s="543"/>
      <c r="GM8" s="543"/>
      <c r="GN8" s="543"/>
      <c r="GO8" s="543"/>
      <c r="GP8" s="543"/>
      <c r="GQ8" s="543"/>
      <c r="GR8" s="543"/>
      <c r="GS8" s="543"/>
      <c r="GT8" s="543"/>
      <c r="GU8" s="543"/>
      <c r="GV8" s="543"/>
      <c r="GW8" s="543"/>
      <c r="GX8" s="543"/>
      <c r="GY8" s="543"/>
      <c r="GZ8" s="543"/>
      <c r="HA8" s="543"/>
      <c r="HB8" s="543"/>
      <c r="HC8" s="543"/>
      <c r="HD8" s="543"/>
      <c r="HE8" s="543"/>
      <c r="HF8" s="543"/>
      <c r="HG8" s="543"/>
      <c r="HH8" s="543"/>
      <c r="HI8" s="543"/>
      <c r="HJ8" s="543"/>
      <c r="HK8" s="543"/>
      <c r="HL8" s="543"/>
      <c r="HM8" s="543"/>
      <c r="HN8" s="543"/>
      <c r="HO8" s="543"/>
      <c r="HP8" s="543"/>
      <c r="HQ8" s="543"/>
      <c r="HR8" s="543"/>
      <c r="HS8" s="543"/>
      <c r="HT8" s="543"/>
      <c r="HU8" s="543"/>
      <c r="HV8" s="543"/>
      <c r="HW8" s="543"/>
      <c r="HX8" s="543"/>
      <c r="HY8" s="543"/>
      <c r="HZ8" s="543"/>
      <c r="IA8" s="543"/>
      <c r="IB8" s="543"/>
      <c r="IC8" s="543"/>
      <c r="ID8" s="543"/>
      <c r="IE8" s="543"/>
      <c r="IF8" s="543"/>
      <c r="IG8" s="543"/>
      <c r="IH8" s="543"/>
      <c r="II8" s="543"/>
      <c r="IJ8" s="543"/>
      <c r="IK8" s="543"/>
      <c r="IL8" s="543"/>
      <c r="IM8" s="543"/>
      <c r="IN8" s="543"/>
      <c r="IO8" s="543"/>
      <c r="IP8" s="543"/>
      <c r="IQ8" s="543"/>
      <c r="IR8" s="543"/>
      <c r="IS8" s="543"/>
      <c r="IT8" s="543"/>
      <c r="IU8" s="543"/>
      <c r="IV8" s="543"/>
    </row>
    <row r="9" spans="1:256" ht="12.75" customHeight="1">
      <c r="A9" s="568"/>
      <c r="B9" s="503"/>
      <c r="C9" s="513"/>
      <c r="D9" s="513"/>
      <c r="E9" s="513"/>
      <c r="F9" s="566"/>
    </row>
    <row r="10" spans="1:256" ht="15" customHeight="1">
      <c r="A10" s="502" t="s">
        <v>261</v>
      </c>
      <c r="B10" s="503"/>
      <c r="C10" s="569">
        <v>36744604</v>
      </c>
      <c r="D10" s="570"/>
      <c r="E10" s="569">
        <f>C10</f>
        <v>36744604</v>
      </c>
      <c r="F10" s="566"/>
    </row>
    <row r="11" spans="1:256" ht="15" customHeight="1">
      <c r="A11" s="502"/>
      <c r="B11" s="503"/>
      <c r="C11" s="569"/>
      <c r="D11" s="570"/>
      <c r="E11" s="569"/>
      <c r="F11" s="566"/>
    </row>
    <row r="12" spans="1:256" ht="15" customHeight="1">
      <c r="A12" s="502" t="s">
        <v>262</v>
      </c>
      <c r="B12" s="503"/>
      <c r="C12" s="571">
        <v>11290040</v>
      </c>
      <c r="D12" s="572"/>
      <c r="E12" s="571">
        <f>C12</f>
        <v>11290040</v>
      </c>
      <c r="F12" s="566"/>
    </row>
    <row r="13" spans="1:256" ht="15" customHeight="1">
      <c r="A13" s="502"/>
      <c r="B13" s="503"/>
      <c r="C13" s="571"/>
      <c r="D13" s="572"/>
      <c r="E13" s="571"/>
      <c r="F13" s="566"/>
    </row>
    <row r="14" spans="1:256" ht="15" customHeight="1">
      <c r="A14" s="502" t="s">
        <v>263</v>
      </c>
      <c r="B14" s="503"/>
      <c r="C14" s="571">
        <v>21974019</v>
      </c>
      <c r="D14" s="572"/>
      <c r="E14" s="571">
        <f>C14</f>
        <v>21974019</v>
      </c>
      <c r="F14" s="566"/>
    </row>
    <row r="15" spans="1:256" ht="15">
      <c r="A15" s="503"/>
      <c r="B15" s="503"/>
      <c r="C15" s="513" t="s">
        <v>3</v>
      </c>
      <c r="D15" s="513"/>
      <c r="E15" s="513"/>
      <c r="F15" s="566"/>
    </row>
    <row r="16" spans="1:256" ht="15">
      <c r="A16" s="503"/>
      <c r="B16" s="503"/>
      <c r="C16" s="513"/>
      <c r="D16" s="513"/>
      <c r="E16" s="513"/>
      <c r="F16" s="566"/>
    </row>
    <row r="17" spans="1:6" ht="15">
      <c r="A17" s="503"/>
      <c r="B17" s="503"/>
      <c r="C17" s="513"/>
      <c r="D17" s="513"/>
      <c r="E17" s="513"/>
      <c r="F17" s="566"/>
    </row>
    <row r="18" spans="1:6" ht="15">
      <c r="A18" s="503" t="s">
        <v>264</v>
      </c>
      <c r="B18" s="503"/>
      <c r="C18" s="513"/>
      <c r="D18" s="513"/>
      <c r="E18" s="513"/>
      <c r="F18" s="566"/>
    </row>
    <row r="19" spans="1:6" ht="15">
      <c r="A19" s="503"/>
      <c r="B19" s="503"/>
      <c r="C19" s="513"/>
      <c r="D19" s="513"/>
      <c r="E19" s="513"/>
      <c r="F19" s="566"/>
    </row>
    <row r="20" spans="1:6" ht="15">
      <c r="A20" s="503" t="s">
        <v>265</v>
      </c>
      <c r="B20" s="503"/>
      <c r="C20" s="513"/>
      <c r="D20" s="513"/>
      <c r="E20" s="513"/>
      <c r="F20" s="566"/>
    </row>
    <row r="21" spans="1:6" ht="15">
      <c r="A21" s="503" t="s">
        <v>266</v>
      </c>
      <c r="B21" s="503"/>
      <c r="C21" s="513"/>
      <c r="D21" s="513"/>
      <c r="E21" s="513"/>
      <c r="F21" s="566"/>
    </row>
    <row r="22" spans="1:6" ht="15">
      <c r="A22" s="503"/>
      <c r="B22" s="503"/>
      <c r="C22" s="513"/>
      <c r="D22" s="513"/>
      <c r="E22" s="513"/>
      <c r="F22" s="566"/>
    </row>
    <row r="23" spans="1:6" ht="15">
      <c r="A23" s="503" t="s">
        <v>267</v>
      </c>
      <c r="B23" s="503"/>
      <c r="C23" s="513"/>
      <c r="D23" s="513"/>
      <c r="E23" s="513"/>
      <c r="F23" s="566"/>
    </row>
    <row r="24" spans="1:6" ht="15">
      <c r="A24" s="503" t="s">
        <v>268</v>
      </c>
      <c r="B24" s="503"/>
      <c r="C24" s="513"/>
      <c r="D24" s="513"/>
      <c r="E24" s="513"/>
      <c r="F24" s="566"/>
    </row>
    <row r="25" spans="1:6" ht="15">
      <c r="A25" s="503"/>
      <c r="B25" s="500"/>
      <c r="C25" s="513"/>
      <c r="D25" s="513"/>
      <c r="E25" s="513"/>
      <c r="F25" s="566"/>
    </row>
    <row r="26" spans="1:6" ht="15">
      <c r="A26" s="503" t="s">
        <v>269</v>
      </c>
      <c r="B26" s="500"/>
      <c r="C26" s="513"/>
      <c r="D26" s="513"/>
      <c r="E26" s="513"/>
      <c r="F26" s="566"/>
    </row>
    <row r="27" spans="1:6" ht="15">
      <c r="A27" s="503" t="s">
        <v>270</v>
      </c>
      <c r="B27" s="500"/>
      <c r="C27" s="513"/>
      <c r="D27" s="513"/>
      <c r="E27" s="513"/>
      <c r="F27" s="566"/>
    </row>
    <row r="28" spans="1:6" ht="15">
      <c r="A28" s="500"/>
      <c r="B28" s="500"/>
      <c r="C28" s="513"/>
      <c r="D28" s="513"/>
      <c r="E28" s="513"/>
      <c r="F28" s="566"/>
    </row>
    <row r="29" spans="1:6" ht="15">
      <c r="A29" s="500"/>
      <c r="B29" s="500"/>
      <c r="C29" s="513"/>
      <c r="D29" s="513"/>
      <c r="E29" s="513"/>
      <c r="F29" s="566"/>
    </row>
    <row r="30" spans="1:6" ht="15">
      <c r="A30" s="500"/>
      <c r="B30" s="500"/>
      <c r="C30" s="513"/>
      <c r="D30" s="513"/>
      <c r="E30" s="513"/>
      <c r="F30" s="566"/>
    </row>
    <row r="31" spans="1:6" ht="15">
      <c r="A31" s="500"/>
      <c r="B31" s="500"/>
      <c r="C31" s="513"/>
      <c r="D31" s="513"/>
      <c r="E31" s="513"/>
      <c r="F31" s="566"/>
    </row>
    <row r="32" spans="1:6" ht="15">
      <c r="A32" s="429"/>
      <c r="B32" s="429"/>
      <c r="C32" s="513"/>
      <c r="D32" s="513"/>
      <c r="E32" s="513"/>
      <c r="F32" s="566"/>
    </row>
    <row r="33" spans="1:6" ht="15">
      <c r="A33" s="429"/>
      <c r="B33" s="429"/>
      <c r="C33" s="513"/>
      <c r="D33" s="513"/>
      <c r="E33" s="513"/>
      <c r="F33" s="566"/>
    </row>
    <row r="34" spans="1:6" ht="15">
      <c r="A34" s="429"/>
      <c r="B34" s="429"/>
      <c r="C34" s="513"/>
      <c r="D34" s="513"/>
      <c r="E34" s="513"/>
      <c r="F34" s="566"/>
    </row>
    <row r="35" spans="1:6">
      <c r="C35" s="566"/>
      <c r="D35" s="566"/>
      <c r="E35" s="566"/>
      <c r="F35" s="566"/>
    </row>
    <row r="36" spans="1:6">
      <c r="C36" s="566"/>
      <c r="D36" s="566"/>
      <c r="E36" s="566"/>
      <c r="F36" s="566"/>
    </row>
    <row r="37" spans="1:6">
      <c r="C37" s="566"/>
      <c r="D37" s="566"/>
      <c r="E37" s="566"/>
      <c r="F37" s="566"/>
    </row>
    <row r="38" spans="1:6">
      <c r="C38" s="566"/>
      <c r="D38" s="566"/>
      <c r="E38" s="566"/>
      <c r="F38" s="566"/>
    </row>
    <row r="39" spans="1:6">
      <c r="C39" s="566"/>
      <c r="D39" s="566"/>
      <c r="E39" s="566"/>
      <c r="F39" s="566"/>
    </row>
    <row r="40" spans="1:6">
      <c r="C40" s="566"/>
      <c r="D40" s="566"/>
      <c r="E40" s="566"/>
      <c r="F40" s="566"/>
    </row>
    <row r="41" spans="1:6">
      <c r="C41" s="566"/>
      <c r="D41" s="566"/>
      <c r="E41" s="566"/>
      <c r="F41" s="566"/>
    </row>
    <row r="48" spans="1:6">
      <c r="E48" s="573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1682-702E-4930-B03E-8BF43C9B1ECE}">
  <dimension ref="A1:O21"/>
  <sheetViews>
    <sheetView showOutlineSymbols="0" view="pageBreakPreview" zoomScaleNormal="100" zoomScaleSheetLayoutView="100" workbookViewId="0">
      <pane xSplit="2" ySplit="12" topLeftCell="C13" activePane="bottomRight" state="frozen"/>
      <selection activeCell="AA55" sqref="AA55"/>
      <selection pane="topRight" activeCell="AA55" sqref="AA55"/>
      <selection pane="bottomLeft" activeCell="AA55" sqref="AA55"/>
      <selection pane="bottomRight" activeCell="A28" sqref="A28"/>
    </sheetView>
  </sheetViews>
  <sheetFormatPr defaultColWidth="9.6640625" defaultRowHeight="22.5"/>
  <cols>
    <col min="1" max="1" width="35.21875" style="492" customWidth="1"/>
    <col min="2" max="2" width="2" style="492" customWidth="1"/>
    <col min="3" max="3" width="12.77734375" style="492" hidden="1" customWidth="1"/>
    <col min="4" max="4" width="2" style="492" hidden="1" customWidth="1"/>
    <col min="5" max="5" width="12.77734375" style="492" hidden="1" customWidth="1"/>
    <col min="6" max="6" width="2" style="492" hidden="1" customWidth="1"/>
    <col min="7" max="7" width="12.77734375" style="492" customWidth="1"/>
    <col min="8" max="8" width="2" style="492" customWidth="1"/>
    <col min="9" max="9" width="12.77734375" style="492" customWidth="1"/>
    <col min="10" max="10" width="2" style="492" customWidth="1"/>
    <col min="11" max="11" width="12.77734375" style="492" customWidth="1"/>
    <col min="12" max="12" width="2" style="492" customWidth="1"/>
    <col min="13" max="13" width="12.77734375" style="492" customWidth="1"/>
    <col min="14" max="14" width="2" style="492" customWidth="1"/>
    <col min="15" max="15" width="12.77734375" style="492" customWidth="1"/>
    <col min="16" max="16384" width="9.6640625" style="492"/>
  </cols>
  <sheetData>
    <row r="1" spans="1:15" s="574" customFormat="1" ht="36">
      <c r="A1" s="681" t="s">
        <v>65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</row>
    <row r="2" spans="1:15" s="574" customFormat="1" ht="32.25">
      <c r="A2" s="682" t="s">
        <v>271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1:15" s="574" customFormat="1" ht="28.5">
      <c r="A3" s="683" t="s">
        <v>272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</row>
    <row r="4" spans="1:15" s="574" customFormat="1" ht="28.5">
      <c r="A4" s="683" t="s">
        <v>273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</row>
    <row r="5" spans="1:15" s="574" customFormat="1" ht="27" customHeight="1">
      <c r="A5" s="435"/>
      <c r="B5" s="565"/>
    </row>
    <row r="6" spans="1:15" s="574" customFormat="1" ht="24.75">
      <c r="A6" s="684" t="s">
        <v>151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</row>
    <row r="7" spans="1:15" s="574" customFormat="1" ht="18" customHeight="1">
      <c r="A7" s="565"/>
      <c r="B7" s="565"/>
    </row>
    <row r="8" spans="1:15" s="574" customFormat="1" ht="18" customHeight="1">
      <c r="A8" s="575"/>
      <c r="B8" s="565"/>
    </row>
    <row r="9" spans="1:15" ht="18" customHeight="1">
      <c r="A9" s="565"/>
      <c r="B9" s="576"/>
    </row>
    <row r="10" spans="1:15" ht="18" customHeight="1"/>
    <row r="11" spans="1:15" ht="18" customHeight="1">
      <c r="A11" s="577"/>
      <c r="B11" s="577"/>
      <c r="C11" s="578" t="s">
        <v>274</v>
      </c>
      <c r="D11" s="577"/>
      <c r="E11" s="578" t="s">
        <v>274</v>
      </c>
      <c r="F11" s="577"/>
      <c r="G11" s="578" t="s">
        <v>142</v>
      </c>
      <c r="H11" s="578"/>
      <c r="I11" s="578" t="s">
        <v>142</v>
      </c>
      <c r="J11" s="578"/>
      <c r="K11" s="578" t="s">
        <v>145</v>
      </c>
      <c r="M11" s="578" t="s">
        <v>145</v>
      </c>
      <c r="O11" s="578" t="s">
        <v>149</v>
      </c>
    </row>
    <row r="12" spans="1:15" ht="18" customHeight="1" thickBot="1">
      <c r="A12" s="579" t="s">
        <v>275</v>
      </c>
      <c r="B12" s="577"/>
      <c r="C12" s="580" t="s">
        <v>13</v>
      </c>
      <c r="D12" s="577"/>
      <c r="E12" s="580" t="s">
        <v>5</v>
      </c>
      <c r="F12" s="577"/>
      <c r="G12" s="580" t="s">
        <v>13</v>
      </c>
      <c r="H12" s="578"/>
      <c r="I12" s="580" t="s">
        <v>5</v>
      </c>
      <c r="J12" s="578"/>
      <c r="K12" s="580" t="s">
        <v>13</v>
      </c>
      <c r="M12" s="580" t="s">
        <v>115</v>
      </c>
      <c r="O12" s="580" t="s">
        <v>13</v>
      </c>
    </row>
    <row r="13" spans="1:15" ht="18" customHeight="1">
      <c r="A13" s="577"/>
      <c r="B13" s="581"/>
      <c r="C13" s="577"/>
      <c r="D13" s="577"/>
      <c r="E13" s="577"/>
      <c r="F13" s="577"/>
      <c r="G13" s="577"/>
      <c r="H13" s="577"/>
      <c r="I13" s="577"/>
      <c r="J13" s="577"/>
      <c r="K13" s="577"/>
    </row>
    <row r="14" spans="1:15" ht="18" customHeight="1">
      <c r="A14" s="583" t="s">
        <v>276</v>
      </c>
      <c r="B14" s="577"/>
      <c r="C14" s="584" t="e">
        <f>SUM(#REF!)</f>
        <v>#REF!</v>
      </c>
      <c r="D14" s="577"/>
      <c r="E14" s="584" t="e">
        <f>SUM(#REF!)</f>
        <v>#REF!</v>
      </c>
      <c r="F14" s="577"/>
      <c r="G14" s="584">
        <v>50216.474999999999</v>
      </c>
      <c r="H14" s="582"/>
      <c r="I14" s="584">
        <v>108246.41399999999</v>
      </c>
      <c r="J14" s="582"/>
      <c r="K14" s="584">
        <v>90132.819999999992</v>
      </c>
      <c r="M14" s="584">
        <v>117509.19560000001</v>
      </c>
      <c r="O14" s="584">
        <v>123141.5145</v>
      </c>
    </row>
    <row r="15" spans="1:15" ht="18" customHeight="1">
      <c r="A15" s="581"/>
      <c r="B15" s="581"/>
      <c r="C15" s="585"/>
      <c r="D15" s="577"/>
      <c r="E15" s="577"/>
      <c r="F15" s="577"/>
      <c r="G15" s="577"/>
      <c r="H15" s="577"/>
      <c r="I15" s="577"/>
      <c r="J15" s="577"/>
      <c r="K15" s="577"/>
    </row>
    <row r="16" spans="1:15" ht="18" customHeight="1">
      <c r="A16" s="581"/>
      <c r="B16" s="581"/>
      <c r="C16" s="585"/>
      <c r="D16" s="577"/>
      <c r="E16" s="577"/>
      <c r="F16" s="577"/>
      <c r="G16" s="577"/>
      <c r="H16" s="577"/>
      <c r="I16" s="577"/>
      <c r="J16" s="577"/>
      <c r="K16" s="577"/>
    </row>
    <row r="17" spans="1:15" ht="18" customHeight="1">
      <c r="A17" s="577" t="s">
        <v>277</v>
      </c>
      <c r="B17" s="581"/>
      <c r="C17" s="585"/>
      <c r="D17" s="577"/>
      <c r="E17" s="577"/>
      <c r="F17" s="577"/>
      <c r="G17" s="577"/>
      <c r="H17" s="577"/>
      <c r="I17" s="577"/>
      <c r="J17" s="577"/>
      <c r="K17" s="577"/>
    </row>
    <row r="18" spans="1:15" ht="18" customHeight="1">
      <c r="A18" s="577"/>
      <c r="B18" s="581"/>
      <c r="C18" s="585"/>
      <c r="D18" s="577"/>
      <c r="E18" s="577"/>
      <c r="F18" s="577"/>
      <c r="G18" s="577"/>
      <c r="H18" s="577"/>
      <c r="I18" s="577"/>
      <c r="J18" s="577"/>
      <c r="K18" s="577"/>
    </row>
    <row r="19" spans="1:15" ht="18" customHeight="1">
      <c r="A19" s="577" t="s">
        <v>278</v>
      </c>
      <c r="B19" s="577"/>
      <c r="C19" s="577"/>
      <c r="D19" s="577"/>
      <c r="E19" s="577"/>
      <c r="F19" s="577"/>
      <c r="G19" s="577"/>
      <c r="H19" s="577"/>
      <c r="I19" s="577"/>
      <c r="J19" s="577"/>
      <c r="K19" s="577"/>
    </row>
    <row r="20" spans="1:15" ht="18" customHeight="1">
      <c r="A20" s="685" t="s">
        <v>279</v>
      </c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</row>
    <row r="21" spans="1:15" ht="18" customHeight="1">
      <c r="A21" s="685"/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</row>
  </sheetData>
  <mergeCells count="6">
    <mergeCell ref="A20:O21"/>
    <mergeCell ref="A1:O1"/>
    <mergeCell ref="A2:O2"/>
    <mergeCell ref="A3:O3"/>
    <mergeCell ref="A4:O4"/>
    <mergeCell ref="A6:O6"/>
  </mergeCells>
  <printOptions horizontalCentered="1"/>
  <pageMargins left="0.25" right="0.25" top="0.5" bottom="0.5" header="0.5" footer="0.5"/>
  <pageSetup scale="60" orientation="portrait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B1:R26"/>
  <sheetViews>
    <sheetView zoomScaleNormal="100" zoomScaleSheetLayoutView="70" workbookViewId="0">
      <selection activeCell="O19" sqref="O19"/>
    </sheetView>
  </sheetViews>
  <sheetFormatPr defaultRowHeight="15"/>
  <cols>
    <col min="2" max="2" width="19.109375" bestFit="1" customWidth="1"/>
    <col min="3" max="3" width="11" bestFit="1" customWidth="1"/>
    <col min="4" max="4" width="12.44140625" bestFit="1" customWidth="1"/>
    <col min="5" max="5" width="8.5546875" bestFit="1" customWidth="1"/>
    <col min="6" max="6" width="10" bestFit="1" customWidth="1"/>
    <col min="9" max="9" width="11" bestFit="1" customWidth="1"/>
    <col min="10" max="10" width="12.44140625" bestFit="1" customWidth="1"/>
    <col min="12" max="12" width="10" bestFit="1" customWidth="1"/>
    <col min="15" max="15" width="11" bestFit="1" customWidth="1"/>
    <col min="16" max="16" width="12.44140625" bestFit="1" customWidth="1"/>
  </cols>
  <sheetData>
    <row r="1" spans="2:18" ht="16.5" thickBot="1">
      <c r="B1" s="686" t="s">
        <v>143</v>
      </c>
      <c r="C1" s="687"/>
      <c r="D1" s="687"/>
      <c r="E1" s="687"/>
      <c r="F1" s="688"/>
      <c r="H1" s="686" t="s">
        <v>147</v>
      </c>
      <c r="I1" s="687"/>
      <c r="J1" s="687"/>
      <c r="K1" s="687"/>
      <c r="L1" s="688"/>
      <c r="N1" s="686" t="s">
        <v>150</v>
      </c>
      <c r="O1" s="687"/>
      <c r="P1" s="687"/>
      <c r="Q1" s="687"/>
      <c r="R1" s="688"/>
    </row>
    <row r="2" spans="2:18" ht="30">
      <c r="B2" s="209"/>
      <c r="C2" s="210" t="s">
        <v>7</v>
      </c>
      <c r="D2" s="211" t="s">
        <v>104</v>
      </c>
      <c r="E2" s="210" t="s">
        <v>105</v>
      </c>
      <c r="F2" s="212" t="s">
        <v>106</v>
      </c>
      <c r="H2" s="209"/>
      <c r="I2" s="210" t="s">
        <v>7</v>
      </c>
      <c r="J2" s="211" t="s">
        <v>104</v>
      </c>
      <c r="K2" s="210" t="s">
        <v>105</v>
      </c>
      <c r="L2" s="212" t="s">
        <v>106</v>
      </c>
      <c r="N2" s="209"/>
      <c r="O2" s="210" t="s">
        <v>7</v>
      </c>
      <c r="P2" s="211" t="s">
        <v>104</v>
      </c>
      <c r="Q2" s="210" t="s">
        <v>105</v>
      </c>
      <c r="R2" s="212" t="s">
        <v>106</v>
      </c>
    </row>
    <row r="3" spans="2:18">
      <c r="B3" s="242" t="s">
        <v>107</v>
      </c>
      <c r="C3" s="214" t="e">
        <f>SUM(#REF!,#REF!)</f>
        <v>#REF!</v>
      </c>
      <c r="D3" s="215" t="e">
        <f>ROUND(+C3*0.06,0)</f>
        <v>#REF!</v>
      </c>
      <c r="E3" s="214" t="e">
        <f>+D3*0.1</f>
        <v>#REF!</v>
      </c>
      <c r="F3" s="216" t="e">
        <f>+D3*0.9</f>
        <v>#REF!</v>
      </c>
      <c r="H3" s="242" t="s">
        <v>107</v>
      </c>
      <c r="I3" s="214" t="e">
        <f>SUM(#REF!,#REF!)</f>
        <v>#REF!</v>
      </c>
      <c r="J3" s="215" t="e">
        <f>ROUND(+I3*0.06,0)</f>
        <v>#REF!</v>
      </c>
      <c r="K3" s="214" t="e">
        <f>+J3*0.1</f>
        <v>#REF!</v>
      </c>
      <c r="L3" s="216" t="e">
        <f>+J3*0.9</f>
        <v>#REF!</v>
      </c>
      <c r="N3" s="242" t="s">
        <v>107</v>
      </c>
      <c r="O3" s="214" t="e">
        <f>SUM(#REF!,#REF!)</f>
        <v>#REF!</v>
      </c>
      <c r="P3" s="215" t="e">
        <f>ROUND(+O3*0.06,0)</f>
        <v>#REF!</v>
      </c>
      <c r="Q3" s="214" t="e">
        <f>+P3*0.1</f>
        <v>#REF!</v>
      </c>
      <c r="R3" s="216" t="e">
        <f>+P3*0.9</f>
        <v>#REF!</v>
      </c>
    </row>
    <row r="4" spans="2:18">
      <c r="B4" s="242" t="s">
        <v>134</v>
      </c>
      <c r="C4" s="214" t="e">
        <f>#REF!</f>
        <v>#REF!</v>
      </c>
      <c r="D4" s="215" t="e">
        <f>ROUND(+C4*(0.875*0.06),0)-203</f>
        <v>#REF!</v>
      </c>
      <c r="E4" s="214" t="e">
        <f>+D4*0.1</f>
        <v>#REF!</v>
      </c>
      <c r="F4" s="216" t="e">
        <f>+D4*0.9</f>
        <v>#REF!</v>
      </c>
      <c r="H4" s="242" t="s">
        <v>134</v>
      </c>
      <c r="I4" s="214" t="e">
        <f>#REF!</f>
        <v>#REF!</v>
      </c>
      <c r="J4" s="215" t="e">
        <f>ROUND(+I4*(0.875*0.06),0)</f>
        <v>#REF!</v>
      </c>
      <c r="K4" s="214" t="e">
        <f>+J4*0.1</f>
        <v>#REF!</v>
      </c>
      <c r="L4" s="216" t="e">
        <f>+J4*0.9</f>
        <v>#REF!</v>
      </c>
      <c r="N4" s="242" t="s">
        <v>134</v>
      </c>
      <c r="O4" s="214" t="e">
        <f>#REF!</f>
        <v>#REF!</v>
      </c>
      <c r="P4" s="215" t="e">
        <f>ROUND(+O4*(0.875*0.06),0)</f>
        <v>#REF!</v>
      </c>
      <c r="Q4" s="214" t="e">
        <f>+P4*0.1</f>
        <v>#REF!</v>
      </c>
      <c r="R4" s="216" t="e">
        <f>+P4*0.9</f>
        <v>#REF!</v>
      </c>
    </row>
    <row r="5" spans="2:18">
      <c r="B5" s="213" t="s">
        <v>108</v>
      </c>
      <c r="C5" s="217" t="e">
        <f>#REF!</f>
        <v>#REF!</v>
      </c>
      <c r="D5" s="215" t="e">
        <f>ROUND(+C5*(1.5/200),0)-551</f>
        <v>#REF!</v>
      </c>
      <c r="E5" s="214" t="e">
        <f>+D5*0.1</f>
        <v>#REF!</v>
      </c>
      <c r="F5" s="216" t="e">
        <f>+D5*0.9</f>
        <v>#REF!</v>
      </c>
      <c r="H5" s="213" t="s">
        <v>108</v>
      </c>
      <c r="I5" s="217" t="e">
        <f>#REF!</f>
        <v>#REF!</v>
      </c>
      <c r="J5" s="215" t="e">
        <f>ROUND(+I5*(1.5/200),0)</f>
        <v>#REF!</v>
      </c>
      <c r="K5" s="214" t="e">
        <f>+J5*0.1</f>
        <v>#REF!</v>
      </c>
      <c r="L5" s="216" t="e">
        <f>+J5*0.9</f>
        <v>#REF!</v>
      </c>
      <c r="N5" s="213" t="s">
        <v>108</v>
      </c>
      <c r="O5" s="217" t="e">
        <f>#REF!</f>
        <v>#REF!</v>
      </c>
      <c r="P5" s="215" t="e">
        <f>ROUND(+O5*(1.5/200),0)</f>
        <v>#REF!</v>
      </c>
      <c r="Q5" s="214" t="e">
        <f>+P5*0.1</f>
        <v>#REF!</v>
      </c>
      <c r="R5" s="216" t="e">
        <f>+P5*0.9</f>
        <v>#REF!</v>
      </c>
    </row>
    <row r="6" spans="2:18">
      <c r="B6" s="213"/>
      <c r="C6" s="218"/>
      <c r="D6" s="215"/>
      <c r="E6" s="214"/>
      <c r="F6" s="216"/>
      <c r="H6" s="213"/>
      <c r="I6" s="218"/>
      <c r="J6" s="215"/>
      <c r="K6" s="214"/>
      <c r="L6" s="216"/>
      <c r="N6" s="213"/>
      <c r="O6" s="218"/>
      <c r="P6" s="215"/>
      <c r="Q6" s="214"/>
      <c r="R6" s="216"/>
    </row>
    <row r="7" spans="2:18">
      <c r="B7" s="213" t="s">
        <v>109</v>
      </c>
      <c r="C7" s="217" t="e">
        <f>SUM(#REF!)</f>
        <v>#REF!</v>
      </c>
      <c r="D7" s="215" t="e">
        <f>ROUND(+C7*0.06,0)+2</f>
        <v>#REF!</v>
      </c>
      <c r="E7" s="214" t="e">
        <f>+D7*0.1</f>
        <v>#REF!</v>
      </c>
      <c r="F7" s="216" t="e">
        <f>+D7*0.9</f>
        <v>#REF!</v>
      </c>
      <c r="H7" s="213" t="s">
        <v>109</v>
      </c>
      <c r="I7" s="217" t="e">
        <f>SUM(#REF!)</f>
        <v>#REF!</v>
      </c>
      <c r="J7" s="215" t="e">
        <f>ROUND(+I7*0.06,0)</f>
        <v>#REF!</v>
      </c>
      <c r="K7" s="214" t="e">
        <f>+J7*0.1</f>
        <v>#REF!</v>
      </c>
      <c r="L7" s="216" t="e">
        <f>+J7*0.9</f>
        <v>#REF!</v>
      </c>
      <c r="N7" s="213" t="s">
        <v>109</v>
      </c>
      <c r="O7" s="217" t="e">
        <f>SUM(#REF!)</f>
        <v>#REF!</v>
      </c>
      <c r="P7" s="215" t="e">
        <f>ROUND(+O7*0.06,0)</f>
        <v>#REF!</v>
      </c>
      <c r="Q7" s="214" t="e">
        <f>+P7*0.1</f>
        <v>#REF!</v>
      </c>
      <c r="R7" s="216" t="e">
        <f>+P7*0.9</f>
        <v>#REF!</v>
      </c>
    </row>
    <row r="8" spans="2:18">
      <c r="B8" s="213"/>
      <c r="C8" s="218"/>
      <c r="D8" s="215"/>
      <c r="E8" s="214"/>
      <c r="F8" s="216"/>
      <c r="H8" s="213"/>
      <c r="I8" s="218"/>
      <c r="J8" s="215"/>
      <c r="K8" s="214"/>
      <c r="L8" s="216"/>
      <c r="N8" s="213"/>
      <c r="O8" s="218"/>
      <c r="P8" s="215"/>
      <c r="Q8" s="214"/>
      <c r="R8" s="216"/>
    </row>
    <row r="9" spans="2:18">
      <c r="B9" s="213"/>
      <c r="C9" s="218"/>
      <c r="D9" s="215"/>
      <c r="E9" s="214"/>
      <c r="F9" s="216"/>
      <c r="H9" s="213"/>
      <c r="I9" s="218"/>
      <c r="J9" s="215"/>
      <c r="K9" s="214"/>
      <c r="L9" s="216"/>
      <c r="N9" s="213"/>
      <c r="O9" s="218"/>
      <c r="P9" s="215"/>
      <c r="Q9" s="214"/>
      <c r="R9" s="216"/>
    </row>
    <row r="10" spans="2:18">
      <c r="B10" s="213"/>
      <c r="C10" s="218"/>
      <c r="D10" s="215"/>
      <c r="E10" s="214"/>
      <c r="F10" s="216"/>
      <c r="H10" s="213"/>
      <c r="I10" s="218"/>
      <c r="J10" s="215"/>
      <c r="K10" s="214"/>
      <c r="L10" s="216"/>
      <c r="N10" s="213"/>
      <c r="O10" s="218"/>
      <c r="P10" s="215"/>
      <c r="Q10" s="214"/>
      <c r="R10" s="216"/>
    </row>
    <row r="11" spans="2:18">
      <c r="B11" s="213"/>
      <c r="C11" s="218"/>
      <c r="D11" s="215"/>
      <c r="E11" s="214"/>
      <c r="F11" s="216"/>
      <c r="H11" s="213"/>
      <c r="I11" s="218"/>
      <c r="J11" s="215"/>
      <c r="K11" s="214"/>
      <c r="L11" s="216"/>
      <c r="N11" s="213"/>
      <c r="O11" s="218"/>
      <c r="P11" s="215"/>
      <c r="Q11" s="214"/>
      <c r="R11" s="216"/>
    </row>
    <row r="12" spans="2:18">
      <c r="B12" s="219"/>
      <c r="C12" s="218"/>
      <c r="D12" s="215"/>
      <c r="E12" s="214"/>
      <c r="F12" s="216"/>
      <c r="H12" s="219"/>
      <c r="I12" s="218"/>
      <c r="J12" s="215"/>
      <c r="K12" s="214"/>
      <c r="L12" s="216"/>
      <c r="N12" s="219"/>
      <c r="O12" s="218"/>
      <c r="P12" s="215"/>
      <c r="Q12" s="214"/>
      <c r="R12" s="216"/>
    </row>
    <row r="13" spans="2:18">
      <c r="B13" s="219"/>
      <c r="C13" s="218"/>
      <c r="D13" s="215"/>
      <c r="E13" s="214"/>
      <c r="F13" s="216"/>
      <c r="H13" s="219"/>
      <c r="I13" s="218"/>
      <c r="J13" s="215"/>
      <c r="K13" s="214"/>
      <c r="L13" s="216"/>
      <c r="N13" s="219"/>
      <c r="O13" s="218"/>
      <c r="P13" s="215"/>
      <c r="Q13" s="214"/>
      <c r="R13" s="216"/>
    </row>
    <row r="14" spans="2:18">
      <c r="B14" s="220"/>
      <c r="C14" s="218"/>
      <c r="D14" s="215"/>
      <c r="E14" s="214"/>
      <c r="F14" s="216"/>
      <c r="H14" s="220"/>
      <c r="I14" s="218"/>
      <c r="J14" s="215"/>
      <c r="K14" s="214"/>
      <c r="L14" s="216"/>
      <c r="N14" s="220"/>
      <c r="O14" s="218"/>
      <c r="P14" s="215"/>
      <c r="Q14" s="214"/>
      <c r="R14" s="216"/>
    </row>
    <row r="15" spans="2:18">
      <c r="B15" s="213"/>
      <c r="C15" s="218"/>
      <c r="D15" s="215"/>
      <c r="E15" s="214"/>
      <c r="F15" s="216"/>
      <c r="H15" s="213"/>
      <c r="I15" s="218"/>
      <c r="J15" s="215"/>
      <c r="K15" s="214"/>
      <c r="L15" s="216"/>
      <c r="N15" s="213"/>
      <c r="O15" s="218"/>
      <c r="P15" s="215"/>
      <c r="Q15" s="214"/>
      <c r="R15" s="216"/>
    </row>
    <row r="16" spans="2:18">
      <c r="B16" s="213"/>
      <c r="C16" s="218"/>
      <c r="D16" s="215"/>
      <c r="E16" s="214"/>
      <c r="F16" s="216"/>
      <c r="H16" s="213"/>
      <c r="I16" s="218"/>
      <c r="J16" s="215"/>
      <c r="K16" s="214"/>
      <c r="L16" s="216"/>
      <c r="N16" s="213"/>
      <c r="O16" s="218"/>
      <c r="P16" s="215"/>
      <c r="Q16" s="214"/>
      <c r="R16" s="216"/>
    </row>
    <row r="17" spans="2:18">
      <c r="B17" s="213"/>
      <c r="C17" s="218"/>
      <c r="D17" s="215"/>
      <c r="E17" s="214"/>
      <c r="F17" s="216"/>
      <c r="H17" s="213"/>
      <c r="I17" s="218"/>
      <c r="J17" s="215"/>
      <c r="K17" s="214"/>
      <c r="L17" s="216"/>
      <c r="N17" s="213"/>
      <c r="O17" s="218"/>
      <c r="P17" s="215"/>
      <c r="Q17" s="214"/>
      <c r="R17" s="216"/>
    </row>
    <row r="18" spans="2:18">
      <c r="B18" s="213" t="s">
        <v>12</v>
      </c>
      <c r="C18" s="217" t="e">
        <f>#REF!</f>
        <v>#REF!</v>
      </c>
      <c r="D18" s="215" t="e">
        <f>+C18*0.06</f>
        <v>#REF!</v>
      </c>
      <c r="E18" s="214" t="e">
        <f>+D18*0.1</f>
        <v>#REF!</v>
      </c>
      <c r="F18" s="216" t="e">
        <f>+D18*0.9</f>
        <v>#REF!</v>
      </c>
      <c r="H18" s="213" t="s">
        <v>12</v>
      </c>
      <c r="I18" s="217" t="e">
        <f>#REF!</f>
        <v>#REF!</v>
      </c>
      <c r="J18" s="215" t="e">
        <f>+I18*0.06</f>
        <v>#REF!</v>
      </c>
      <c r="K18" s="214" t="e">
        <f>+J18*0.1</f>
        <v>#REF!</v>
      </c>
      <c r="L18" s="216" t="e">
        <f>+J18*0.9</f>
        <v>#REF!</v>
      </c>
      <c r="N18" s="213" t="s">
        <v>12</v>
      </c>
      <c r="O18" s="217">
        <v>0</v>
      </c>
      <c r="P18" s="215">
        <f>+O18*0.06</f>
        <v>0</v>
      </c>
      <c r="Q18" s="214">
        <f>+P18*0.1</f>
        <v>0</v>
      </c>
      <c r="R18" s="216">
        <f>+P18*0.9</f>
        <v>0</v>
      </c>
    </row>
    <row r="19" spans="2:18">
      <c r="B19" s="213"/>
      <c r="C19" s="218"/>
      <c r="D19" s="215"/>
      <c r="E19" s="214"/>
      <c r="F19" s="216"/>
      <c r="H19" s="213"/>
      <c r="I19" s="218"/>
      <c r="J19" s="215"/>
      <c r="K19" s="214"/>
      <c r="L19" s="216"/>
      <c r="N19" s="213"/>
      <c r="O19" s="218"/>
      <c r="P19" s="215"/>
      <c r="Q19" s="214"/>
      <c r="R19" s="216"/>
    </row>
    <row r="20" spans="2:18">
      <c r="B20" s="213" t="s">
        <v>110</v>
      </c>
      <c r="C20" s="217" t="e">
        <f>#REF!</f>
        <v>#REF!</v>
      </c>
      <c r="D20" s="215" t="e">
        <f>ROUND(+C20*0.06,0)</f>
        <v>#REF!</v>
      </c>
      <c r="E20" s="214" t="e">
        <f>+D20*0.1</f>
        <v>#REF!</v>
      </c>
      <c r="F20" s="216" t="e">
        <f>+D20*0.9</f>
        <v>#REF!</v>
      </c>
      <c r="H20" s="213" t="s">
        <v>110</v>
      </c>
      <c r="I20" s="217" t="e">
        <f>#REF!+#REF!</f>
        <v>#REF!</v>
      </c>
      <c r="J20" s="215" t="e">
        <f>ROUND(+I20*0.06,0)</f>
        <v>#REF!</v>
      </c>
      <c r="K20" s="214" t="e">
        <f>+J20*0.1</f>
        <v>#REF!</v>
      </c>
      <c r="L20" s="216" t="e">
        <f>+J20*0.9</f>
        <v>#REF!</v>
      </c>
      <c r="N20" s="213" t="s">
        <v>110</v>
      </c>
      <c r="O20" s="217" t="e">
        <f>#REF!+#REF!</f>
        <v>#REF!</v>
      </c>
      <c r="P20" s="215" t="e">
        <f>ROUND(+O20*0.06,0)</f>
        <v>#REF!</v>
      </c>
      <c r="Q20" s="214" t="e">
        <f>+P20*0.1</f>
        <v>#REF!</v>
      </c>
      <c r="R20" s="216" t="e">
        <f>+P20*0.9</f>
        <v>#REF!</v>
      </c>
    </row>
    <row r="21" spans="2:18">
      <c r="B21" s="213" t="s">
        <v>112</v>
      </c>
      <c r="C21" s="217" t="e">
        <f>#REF!</f>
        <v>#REF!</v>
      </c>
      <c r="D21" s="215" t="e">
        <f>ROUND(+C21*0.06,0)</f>
        <v>#REF!</v>
      </c>
      <c r="E21" s="214" t="e">
        <f>+D21*0.1</f>
        <v>#REF!</v>
      </c>
      <c r="F21" s="216" t="e">
        <f>+D21*0.9</f>
        <v>#REF!</v>
      </c>
      <c r="H21" s="213" t="s">
        <v>112</v>
      </c>
      <c r="I21" s="217" t="e">
        <f>#REF!</f>
        <v>#REF!</v>
      </c>
      <c r="J21" s="215" t="e">
        <f>ROUND(+I21*0.06,0)</f>
        <v>#REF!</v>
      </c>
      <c r="K21" s="214" t="e">
        <f>+J21*0.1</f>
        <v>#REF!</v>
      </c>
      <c r="L21" s="216" t="e">
        <f>+J21*0.9</f>
        <v>#REF!</v>
      </c>
      <c r="N21" s="213" t="s">
        <v>112</v>
      </c>
      <c r="O21" s="217" t="e">
        <f>#REF!</f>
        <v>#REF!</v>
      </c>
      <c r="P21" s="215" t="e">
        <f>ROUND(+O21*0.06,0)</f>
        <v>#REF!</v>
      </c>
      <c r="Q21" s="214" t="e">
        <f>+P21*0.1</f>
        <v>#REF!</v>
      </c>
      <c r="R21" s="216" t="e">
        <f>+P21*0.9</f>
        <v>#REF!</v>
      </c>
    </row>
    <row r="22" spans="2:18">
      <c r="B22" s="213" t="s">
        <v>111</v>
      </c>
      <c r="C22" s="217" t="e">
        <f>SUM(#REF!)</f>
        <v>#REF!</v>
      </c>
      <c r="D22" s="214" t="e">
        <f>ROUND(+C22*0.06,0)</f>
        <v>#REF!</v>
      </c>
      <c r="E22" s="214" t="e">
        <f>+D22*0.1</f>
        <v>#REF!</v>
      </c>
      <c r="F22" s="216" t="e">
        <f>+D22*0.9</f>
        <v>#REF!</v>
      </c>
      <c r="H22" s="213" t="s">
        <v>111</v>
      </c>
      <c r="I22" s="217" t="e">
        <f>SUM(#REF!)</f>
        <v>#REF!</v>
      </c>
      <c r="J22" s="214" t="e">
        <f>ROUND(+I22*0.06,0)</f>
        <v>#REF!</v>
      </c>
      <c r="K22" s="214" t="e">
        <f>+J22*0.1</f>
        <v>#REF!</v>
      </c>
      <c r="L22" s="216" t="e">
        <f>+J22*0.9</f>
        <v>#REF!</v>
      </c>
      <c r="N22" s="213" t="s">
        <v>111</v>
      </c>
      <c r="O22" s="217" t="e">
        <f>SUM(#REF!)</f>
        <v>#REF!</v>
      </c>
      <c r="P22" s="214" t="e">
        <f>ROUND(+O22*0.06,0)</f>
        <v>#REF!</v>
      </c>
      <c r="Q22" s="214" t="e">
        <f>+P22*0.1</f>
        <v>#REF!</v>
      </c>
      <c r="R22" s="216" t="e">
        <f>+P22*0.9</f>
        <v>#REF!</v>
      </c>
    </row>
    <row r="23" spans="2:18">
      <c r="B23" s="213" t="s">
        <v>118</v>
      </c>
      <c r="C23" s="217" t="e">
        <f>SUM(#REF!)</f>
        <v>#REF!</v>
      </c>
      <c r="D23" s="214" t="e">
        <f>ROUND(+C23*0.06,0)</f>
        <v>#REF!</v>
      </c>
      <c r="E23" s="214" t="e">
        <f>+D23*0.1</f>
        <v>#REF!</v>
      </c>
      <c r="F23" s="216" t="e">
        <f>+D23*0.9</f>
        <v>#REF!</v>
      </c>
      <c r="H23" s="213" t="s">
        <v>118</v>
      </c>
      <c r="I23" s="217" t="e">
        <f>SUM(#REF!)</f>
        <v>#REF!</v>
      </c>
      <c r="J23" s="214" t="e">
        <f>ROUND(+I23*0.06,0)</f>
        <v>#REF!</v>
      </c>
      <c r="K23" s="214" t="e">
        <f>+J23*0.1</f>
        <v>#REF!</v>
      </c>
      <c r="L23" s="216" t="e">
        <f>+J23*0.9</f>
        <v>#REF!</v>
      </c>
      <c r="N23" s="213" t="s">
        <v>118</v>
      </c>
      <c r="O23" s="217" t="e">
        <f>SUM(#REF!)</f>
        <v>#REF!</v>
      </c>
      <c r="P23" s="214" t="e">
        <f>ROUND(+O23*0.06,0)</f>
        <v>#REF!</v>
      </c>
      <c r="Q23" s="214" t="e">
        <f>+P23*0.1</f>
        <v>#REF!</v>
      </c>
      <c r="R23" s="216" t="e">
        <f>+P23*0.9</f>
        <v>#REF!</v>
      </c>
    </row>
    <row r="24" spans="2:18" ht="15.75" thickBot="1">
      <c r="B24" s="221"/>
      <c r="C24" s="222" t="e">
        <f>SUM(C3:C23)</f>
        <v>#REF!</v>
      </c>
      <c r="D24" s="222" t="e">
        <f>SUM(D3:D23)</f>
        <v>#REF!</v>
      </c>
      <c r="E24" s="222" t="e">
        <f>SUM(E3:E23)</f>
        <v>#REF!</v>
      </c>
      <c r="F24" s="223" t="e">
        <f>SUM(F3:F23)</f>
        <v>#REF!</v>
      </c>
      <c r="H24" s="221"/>
      <c r="I24" s="222" t="e">
        <f>SUM(I3:I23)</f>
        <v>#REF!</v>
      </c>
      <c r="J24" s="222" t="e">
        <f>SUM(J3:J23)</f>
        <v>#REF!</v>
      </c>
      <c r="K24" s="222" t="e">
        <f>SUM(K3:K23)</f>
        <v>#REF!</v>
      </c>
      <c r="L24" s="223" t="e">
        <f>SUM(L3:L23)</f>
        <v>#REF!</v>
      </c>
      <c r="N24" s="221"/>
      <c r="O24" s="222" t="e">
        <f>SUM(O3:O23)</f>
        <v>#REF!</v>
      </c>
      <c r="P24" s="222" t="e">
        <f>SUM(P3:P23)</f>
        <v>#REF!</v>
      </c>
      <c r="Q24" s="222" t="e">
        <f>SUM(Q3:Q23)</f>
        <v>#REF!</v>
      </c>
      <c r="R24" s="223" t="e">
        <f>SUM(R3:R23)</f>
        <v>#REF!</v>
      </c>
    </row>
    <row r="25" spans="2:18" ht="15.75" thickTop="1">
      <c r="B25" s="224"/>
      <c r="C25" s="218"/>
      <c r="D25" s="215"/>
      <c r="E25" s="218"/>
      <c r="F25" s="225"/>
      <c r="H25" s="224"/>
      <c r="I25" s="218"/>
      <c r="J25" s="215"/>
      <c r="K25" s="218"/>
      <c r="L25" s="225"/>
      <c r="N25" s="224"/>
      <c r="O25" s="218"/>
      <c r="P25" s="215"/>
      <c r="Q25" s="218"/>
      <c r="R25" s="225"/>
    </row>
    <row r="26" spans="2:18" ht="15.75" thickBot="1">
      <c r="B26" s="226"/>
      <c r="C26" s="228"/>
      <c r="D26" s="158"/>
      <c r="E26" s="228"/>
      <c r="F26" s="227"/>
      <c r="H26" s="226"/>
      <c r="I26" s="228"/>
      <c r="J26" s="158"/>
      <c r="K26" s="228"/>
      <c r="L26" s="227"/>
      <c r="N26" s="226"/>
      <c r="O26" s="228"/>
      <c r="P26" s="158"/>
      <c r="Q26" s="228"/>
      <c r="R26" s="227"/>
    </row>
  </sheetData>
  <mergeCells count="3">
    <mergeCell ref="H1:L1"/>
    <mergeCell ref="B1:F1"/>
    <mergeCell ref="N1:R1"/>
  </mergeCells>
  <pageMargins left="0.7" right="0.7" top="0.75" bottom="0.75" header="0.3" footer="0.3"/>
  <pageSetup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E19" sqref="E19"/>
    </sheetView>
  </sheetViews>
  <sheetFormatPr defaultColWidth="8.88671875" defaultRowHeight="15"/>
  <cols>
    <col min="1" max="1" width="21.6640625" style="231" customWidth="1"/>
    <col min="2" max="2" width="3" style="237" customWidth="1"/>
    <col min="3" max="3" width="13.44140625" style="231" customWidth="1"/>
    <col min="4" max="4" width="18" style="231" customWidth="1"/>
    <col min="5" max="5" width="20" style="231" customWidth="1"/>
    <col min="6" max="16384" width="8.88671875" style="231"/>
  </cols>
  <sheetData>
    <row r="1" spans="1:5">
      <c r="A1" s="229" t="s">
        <v>119</v>
      </c>
      <c r="B1" s="230"/>
    </row>
    <row r="3" spans="1:5">
      <c r="A3" s="229" t="s">
        <v>120</v>
      </c>
      <c r="B3" s="230"/>
    </row>
    <row r="4" spans="1:5">
      <c r="A4" s="232" t="s">
        <v>129</v>
      </c>
      <c r="B4" s="233"/>
    </row>
    <row r="5" spans="1:5">
      <c r="A5" s="232"/>
      <c r="B5" s="233"/>
    </row>
    <row r="6" spans="1:5">
      <c r="A6" s="232"/>
      <c r="B6" s="233"/>
    </row>
    <row r="7" spans="1:5">
      <c r="A7" s="229" t="s">
        <v>121</v>
      </c>
      <c r="B7" s="230"/>
    </row>
    <row r="8" spans="1:5">
      <c r="A8" s="229"/>
      <c r="B8" s="230"/>
    </row>
    <row r="10" spans="1:5">
      <c r="A10" s="229" t="s">
        <v>122</v>
      </c>
      <c r="B10" s="230"/>
    </row>
    <row r="11" spans="1:5">
      <c r="A11" s="229"/>
      <c r="B11" s="230"/>
    </row>
    <row r="12" spans="1:5">
      <c r="A12" s="229"/>
      <c r="B12" s="230"/>
      <c r="C12" s="689" t="s">
        <v>123</v>
      </c>
      <c r="D12" s="689"/>
      <c r="E12" s="239"/>
    </row>
    <row r="13" spans="1:5">
      <c r="A13" s="234" t="s">
        <v>124</v>
      </c>
      <c r="B13" s="230"/>
      <c r="C13" s="238" t="s">
        <v>131</v>
      </c>
      <c r="D13" s="238" t="s">
        <v>129</v>
      </c>
      <c r="E13" s="240"/>
    </row>
    <row r="14" spans="1:5">
      <c r="A14" s="229" t="s">
        <v>126</v>
      </c>
      <c r="B14" s="230"/>
      <c r="C14" s="235" t="s">
        <v>125</v>
      </c>
      <c r="D14" s="236"/>
      <c r="E14" s="241"/>
    </row>
    <row r="15" spans="1:5">
      <c r="A15" s="229" t="s">
        <v>127</v>
      </c>
      <c r="B15" s="230"/>
      <c r="C15" s="235"/>
      <c r="D15" s="235" t="s">
        <v>132</v>
      </c>
      <c r="E15" s="236"/>
    </row>
    <row r="16" spans="1:5">
      <c r="A16" s="229" t="s">
        <v>128</v>
      </c>
      <c r="B16" s="230"/>
      <c r="C16" s="235"/>
      <c r="D16" s="235" t="s">
        <v>132</v>
      </c>
      <c r="E16" s="236"/>
    </row>
    <row r="17" spans="1:5">
      <c r="A17" s="229" t="s">
        <v>129</v>
      </c>
      <c r="B17" s="230"/>
      <c r="C17" s="235"/>
      <c r="D17" s="235"/>
      <c r="E17" s="235"/>
    </row>
    <row r="18" spans="1:5">
      <c r="A18" s="229" t="s">
        <v>130</v>
      </c>
      <c r="B18" s="230"/>
      <c r="C18" s="236"/>
      <c r="D18" s="235" t="s">
        <v>132</v>
      </c>
      <c r="E18" s="236"/>
    </row>
    <row r="19" spans="1:5">
      <c r="A19" s="229"/>
      <c r="B19" s="230"/>
      <c r="C19" s="235"/>
      <c r="D19" s="236"/>
      <c r="E19" s="236"/>
    </row>
    <row r="20" spans="1:5">
      <c r="A20" s="229"/>
      <c r="B20" s="230"/>
      <c r="C20" s="235"/>
      <c r="D20" s="236"/>
      <c r="E20" s="236"/>
    </row>
  </sheetData>
  <mergeCells count="1">
    <mergeCell ref="C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218"/>
  <sheetViews>
    <sheetView showOutlineSymbols="0" zoomScale="90" zoomScaleNormal="90" workbookViewId="0">
      <selection activeCell="A48" sqref="A48"/>
    </sheetView>
  </sheetViews>
  <sheetFormatPr defaultColWidth="9.6640625" defaultRowHeight="15"/>
  <cols>
    <col min="1" max="1" width="13.5546875" style="95" customWidth="1"/>
    <col min="2" max="2" width="10.6640625" style="95" customWidth="1"/>
    <col min="3" max="3" width="9.88671875" style="95" customWidth="1"/>
    <col min="4" max="4" width="10.21875" style="95" customWidth="1"/>
    <col min="5" max="5" width="7" style="95" customWidth="1"/>
    <col min="6" max="6" width="11.44140625" style="95" customWidth="1"/>
    <col min="7" max="7" width="10" style="95" customWidth="1"/>
    <col min="8" max="8" width="9.6640625" style="95" customWidth="1"/>
    <col min="9" max="9" width="10.33203125" style="95" customWidth="1"/>
    <col min="10" max="10" width="7.109375" style="95" customWidth="1"/>
    <col min="11" max="11" width="2.33203125" style="95" customWidth="1"/>
    <col min="12" max="12" width="5" style="95" customWidth="1"/>
    <col min="13" max="13" width="8.44140625" style="95" customWidth="1"/>
    <col min="14" max="14" width="16.21875" style="95" customWidth="1"/>
    <col min="15" max="15" width="15.44140625" style="95" customWidth="1"/>
    <col min="16" max="16" width="6.6640625" style="95" customWidth="1"/>
    <col min="17" max="17" width="11.77734375" style="95" customWidth="1"/>
    <col min="18" max="18" width="15.44140625" style="95" customWidth="1"/>
    <col min="19" max="19" width="14.33203125" style="95" customWidth="1"/>
    <col min="20" max="16384" width="9.6640625" style="95"/>
  </cols>
  <sheetData>
    <row r="1" spans="1:29" ht="23.25">
      <c r="A1" s="9" t="s">
        <v>65</v>
      </c>
      <c r="B1" s="94"/>
      <c r="C1" s="94"/>
      <c r="D1" s="94"/>
      <c r="E1" s="94"/>
      <c r="F1" s="94"/>
      <c r="G1" s="10"/>
      <c r="H1" s="10"/>
      <c r="I1" s="94"/>
      <c r="J1" s="94"/>
      <c r="K1" s="94"/>
      <c r="L1" s="94"/>
      <c r="M1" s="94"/>
      <c r="N1" s="94"/>
      <c r="O1" s="94"/>
      <c r="AA1" s="9" t="s">
        <v>0</v>
      </c>
    </row>
    <row r="2" spans="1:29" ht="23.25">
      <c r="A2" s="11" t="s">
        <v>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Q2" s="90" t="s">
        <v>93</v>
      </c>
      <c r="AA2" s="11" t="s">
        <v>18</v>
      </c>
    </row>
    <row r="3" spans="1:29" ht="18">
      <c r="A3" s="11" t="s">
        <v>94</v>
      </c>
      <c r="B3" s="94"/>
      <c r="C3" s="94"/>
      <c r="D3" s="94"/>
      <c r="E3" s="94"/>
      <c r="F3" s="94"/>
      <c r="G3" s="96"/>
      <c r="H3" s="96"/>
      <c r="I3" s="94"/>
      <c r="J3" s="94"/>
      <c r="K3" s="94"/>
      <c r="L3" s="94"/>
      <c r="M3" s="94"/>
      <c r="N3" s="94"/>
      <c r="O3" s="94"/>
      <c r="AA3" s="11" t="s">
        <v>19</v>
      </c>
    </row>
    <row r="4" spans="1:29" ht="18.75">
      <c r="A4" s="12" t="s">
        <v>95</v>
      </c>
      <c r="B4" s="94"/>
      <c r="C4" s="94"/>
      <c r="D4" s="94"/>
      <c r="E4" s="94"/>
      <c r="F4" s="94"/>
      <c r="G4" s="13"/>
      <c r="H4" s="96"/>
      <c r="I4" s="94"/>
      <c r="J4" s="94"/>
      <c r="K4" s="94"/>
      <c r="L4" s="94"/>
      <c r="M4" s="94"/>
      <c r="N4" s="94"/>
      <c r="O4" s="94"/>
      <c r="Z4" s="12" t="s">
        <v>20</v>
      </c>
    </row>
    <row r="5" spans="1:29" ht="18.75">
      <c r="A5" s="88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Z5" s="12"/>
    </row>
    <row r="6" spans="1:29" ht="15.75">
      <c r="A6" s="1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5" t="s">
        <v>21</v>
      </c>
      <c r="O6" s="94"/>
      <c r="P6" s="94"/>
      <c r="Q6" s="94"/>
      <c r="R6" s="94"/>
      <c r="S6" s="94"/>
    </row>
    <row r="7" spans="1:29">
      <c r="A7" s="15" t="s">
        <v>22</v>
      </c>
      <c r="B7" s="16"/>
      <c r="C7" s="16"/>
      <c r="D7" s="16"/>
      <c r="E7" s="16"/>
      <c r="F7" s="16"/>
      <c r="G7" s="16"/>
      <c r="H7" s="16"/>
      <c r="I7" s="16"/>
      <c r="N7" s="17" t="s">
        <v>23</v>
      </c>
      <c r="O7" s="94"/>
      <c r="P7" s="94"/>
      <c r="Q7" s="94"/>
      <c r="R7" s="94"/>
    </row>
    <row r="8" spans="1:29" ht="15.75">
      <c r="A8" s="3"/>
      <c r="B8" s="3"/>
      <c r="C8" s="3"/>
      <c r="D8" s="3"/>
      <c r="E8" s="3"/>
      <c r="F8" s="3"/>
      <c r="G8" s="3"/>
      <c r="H8" s="3"/>
      <c r="I8" s="3"/>
      <c r="K8" s="18"/>
      <c r="M8" s="3"/>
      <c r="N8" s="97"/>
      <c r="O8" s="97"/>
      <c r="P8" s="3"/>
      <c r="Q8" s="3"/>
      <c r="R8" s="3"/>
    </row>
    <row r="9" spans="1:29" ht="15.75">
      <c r="A9" s="95" t="s">
        <v>3</v>
      </c>
      <c r="B9" s="98" t="s">
        <v>96</v>
      </c>
      <c r="J9" s="19"/>
      <c r="K9" s="18"/>
      <c r="L9" s="19"/>
      <c r="M9" s="2"/>
      <c r="N9" s="99"/>
      <c r="O9" s="20" t="s">
        <v>25</v>
      </c>
      <c r="P9" s="4"/>
      <c r="Q9" s="20" t="s">
        <v>26</v>
      </c>
      <c r="R9" s="21" t="s">
        <v>25</v>
      </c>
      <c r="S9" s="22"/>
      <c r="Z9" s="5" t="s">
        <v>27</v>
      </c>
    </row>
    <row r="10" spans="1:29" ht="15.75">
      <c r="A10" s="20" t="s">
        <v>28</v>
      </c>
      <c r="B10" s="23" t="s">
        <v>28</v>
      </c>
      <c r="C10" s="24" t="s">
        <v>4</v>
      </c>
      <c r="D10" s="20" t="s">
        <v>29</v>
      </c>
      <c r="E10" s="100"/>
      <c r="F10" s="23" t="s">
        <v>30</v>
      </c>
      <c r="G10" s="24" t="s">
        <v>4</v>
      </c>
      <c r="H10" s="20" t="s">
        <v>5</v>
      </c>
      <c r="I10" s="20" t="s">
        <v>4</v>
      </c>
      <c r="J10" s="25"/>
      <c r="K10" s="18"/>
      <c r="L10" s="19"/>
      <c r="M10" s="26" t="s">
        <v>62</v>
      </c>
      <c r="N10" s="89" t="s">
        <v>24</v>
      </c>
      <c r="O10" s="27" t="s">
        <v>7</v>
      </c>
      <c r="P10" s="4"/>
      <c r="Q10" s="26" t="s">
        <v>31</v>
      </c>
      <c r="R10" s="28" t="s">
        <v>32</v>
      </c>
      <c r="S10" s="22"/>
    </row>
    <row r="11" spans="1:29" ht="15.75">
      <c r="A11" s="26" t="s">
        <v>33</v>
      </c>
      <c r="B11" s="29" t="s">
        <v>34</v>
      </c>
      <c r="C11" s="30" t="s">
        <v>35</v>
      </c>
      <c r="D11" s="31" t="s">
        <v>36</v>
      </c>
      <c r="E11" s="100"/>
      <c r="F11" s="29" t="s">
        <v>37</v>
      </c>
      <c r="G11" s="30" t="s">
        <v>35</v>
      </c>
      <c r="H11" s="26" t="s">
        <v>37</v>
      </c>
      <c r="I11" s="31" t="s">
        <v>35</v>
      </c>
      <c r="J11" s="25"/>
      <c r="K11" s="18"/>
      <c r="L11" s="19"/>
      <c r="M11" s="26" t="s">
        <v>33</v>
      </c>
      <c r="N11" s="26" t="s">
        <v>31</v>
      </c>
      <c r="O11" s="26" t="s">
        <v>38</v>
      </c>
      <c r="P11" s="4"/>
      <c r="Q11" s="26" t="s">
        <v>39</v>
      </c>
      <c r="R11" s="32" t="s">
        <v>38</v>
      </c>
      <c r="S11" s="22"/>
      <c r="AA11" s="95" t="s">
        <v>7</v>
      </c>
      <c r="AB11" s="6">
        <v>791665.56</v>
      </c>
    </row>
    <row r="12" spans="1:29" ht="15.75">
      <c r="A12" s="26" t="s">
        <v>40</v>
      </c>
      <c r="B12" s="29" t="s">
        <v>41</v>
      </c>
      <c r="C12" s="30" t="s">
        <v>42</v>
      </c>
      <c r="D12" s="33">
        <f>23259*(1-0.32503547014)</f>
        <v>15699.000000013741</v>
      </c>
      <c r="E12" s="100"/>
      <c r="F12" s="29" t="s">
        <v>40</v>
      </c>
      <c r="G12" s="30" t="s">
        <v>42</v>
      </c>
      <c r="H12" s="26" t="s">
        <v>40</v>
      </c>
      <c r="I12" s="31" t="s">
        <v>42</v>
      </c>
      <c r="J12" s="25"/>
      <c r="K12" s="18"/>
      <c r="L12" s="19"/>
      <c r="M12" s="26" t="s">
        <v>40</v>
      </c>
      <c r="N12" s="26" t="s">
        <v>63</v>
      </c>
      <c r="O12" s="26" t="s">
        <v>44</v>
      </c>
      <c r="P12" s="4"/>
      <c r="Q12" s="26" t="s">
        <v>43</v>
      </c>
      <c r="R12" s="32" t="s">
        <v>44</v>
      </c>
      <c r="S12" s="22"/>
      <c r="AB12" s="6"/>
    </row>
    <row r="13" spans="1:29" ht="15.75">
      <c r="A13" s="101"/>
      <c r="B13" s="34"/>
      <c r="C13" s="35"/>
      <c r="D13" s="101"/>
      <c r="E13" s="100"/>
      <c r="F13" s="101"/>
      <c r="G13" s="102"/>
      <c r="H13" s="101"/>
      <c r="I13" s="101"/>
      <c r="J13" s="25"/>
      <c r="K13" s="18"/>
      <c r="L13" s="19"/>
      <c r="M13" s="101"/>
      <c r="N13" s="101"/>
      <c r="O13" s="101" t="s">
        <v>3</v>
      </c>
      <c r="P13" s="4"/>
      <c r="Q13" s="101"/>
      <c r="R13" s="103" t="s">
        <v>3</v>
      </c>
      <c r="S13" s="22"/>
      <c r="T13" s="19"/>
      <c r="AB13" s="95" t="s">
        <v>45</v>
      </c>
      <c r="AC13" s="6">
        <v>946545.75</v>
      </c>
    </row>
    <row r="14" spans="1:29">
      <c r="A14" s="100">
        <v>1</v>
      </c>
      <c r="B14" s="104">
        <v>18</v>
      </c>
      <c r="C14" s="105">
        <f>B14/$B$44</f>
        <v>1.1976047904191617E-3</v>
      </c>
      <c r="D14" s="106">
        <f>C14*15699</f>
        <v>18.801197604790421</v>
      </c>
      <c r="E14" s="100"/>
      <c r="F14" s="104">
        <f t="shared" ref="F14:F43" si="0">A14*B14</f>
        <v>18</v>
      </c>
      <c r="G14" s="105">
        <f>F14/$F$44</f>
        <v>1.2210426347386631E-4</v>
      </c>
      <c r="H14" s="107">
        <f t="shared" ref="H14:H43" si="1">D14*A14</f>
        <v>18.801197604790421</v>
      </c>
      <c r="I14" s="108">
        <f>H14/$H$44</f>
        <v>1.2210426347386634E-4</v>
      </c>
      <c r="J14" s="100" t="s">
        <v>3</v>
      </c>
      <c r="K14" s="109" t="s">
        <v>3</v>
      </c>
      <c r="L14" s="95">
        <f t="shared" ref="L14:L43" si="2">N14/M14</f>
        <v>131</v>
      </c>
      <c r="M14" s="100">
        <v>1</v>
      </c>
      <c r="N14" s="110">
        <v>131</v>
      </c>
      <c r="O14" s="111">
        <f>N14*D14</f>
        <v>2462.9568862275451</v>
      </c>
      <c r="P14" s="4"/>
      <c r="Q14" s="111">
        <v>90</v>
      </c>
      <c r="R14" s="112">
        <f t="shared" ref="R14:R43" si="3">Q14*D14</f>
        <v>1692.1077844311378</v>
      </c>
      <c r="S14" s="113"/>
      <c r="AC14" s="6"/>
    </row>
    <row r="15" spans="1:29">
      <c r="A15" s="100">
        <v>2</v>
      </c>
      <c r="B15" s="104">
        <v>52</v>
      </c>
      <c r="C15" s="105">
        <f t="shared" ref="C15:C43" si="4">B15/$B$44</f>
        <v>3.4597471723220225E-3</v>
      </c>
      <c r="D15" s="106">
        <f t="shared" ref="D15:D43" si="5">C15*15699</f>
        <v>54.314570858283432</v>
      </c>
      <c r="E15" s="100"/>
      <c r="F15" s="104">
        <f t="shared" si="0"/>
        <v>104</v>
      </c>
      <c r="G15" s="105">
        <f t="shared" ref="G15:G43" si="6">F15/$F$44</f>
        <v>7.0549130007122745E-4</v>
      </c>
      <c r="H15" s="107">
        <f t="shared" si="1"/>
        <v>108.62914171656686</v>
      </c>
      <c r="I15" s="108">
        <f t="shared" ref="I15:I43" si="7">H15/$H$44</f>
        <v>7.0549130007122756E-4</v>
      </c>
      <c r="J15" s="4"/>
      <c r="K15" s="109"/>
      <c r="L15" s="95">
        <f t="shared" si="2"/>
        <v>106</v>
      </c>
      <c r="M15" s="100">
        <v>2</v>
      </c>
      <c r="N15" s="111">
        <v>212</v>
      </c>
      <c r="O15" s="111">
        <f t="shared" ref="O15:O43" si="8">N15*D15</f>
        <v>11514.689021956088</v>
      </c>
      <c r="P15" s="4"/>
      <c r="Q15" s="111">
        <v>90</v>
      </c>
      <c r="R15" s="112">
        <f t="shared" si="3"/>
        <v>4888.311377245509</v>
      </c>
      <c r="S15" s="36"/>
      <c r="AB15" s="95" t="s">
        <v>46</v>
      </c>
      <c r="AC15" s="114">
        <v>170942.2</v>
      </c>
    </row>
    <row r="16" spans="1:29">
      <c r="A16" s="100">
        <v>3</v>
      </c>
      <c r="B16" s="104">
        <v>956</v>
      </c>
      <c r="C16" s="105">
        <f t="shared" si="4"/>
        <v>6.3606121091151033E-2</v>
      </c>
      <c r="D16" s="106">
        <f t="shared" si="5"/>
        <v>998.55249500998002</v>
      </c>
      <c r="E16" s="100"/>
      <c r="F16" s="104">
        <f t="shared" si="0"/>
        <v>2868</v>
      </c>
      <c r="G16" s="105">
        <f t="shared" si="6"/>
        <v>1.9455279313502695E-2</v>
      </c>
      <c r="H16" s="107">
        <f t="shared" si="1"/>
        <v>2995.6574850299403</v>
      </c>
      <c r="I16" s="108">
        <f t="shared" si="7"/>
        <v>1.9455279313502702E-2</v>
      </c>
      <c r="J16" s="4"/>
      <c r="K16" s="109"/>
      <c r="L16" s="95">
        <f t="shared" si="2"/>
        <v>84</v>
      </c>
      <c r="M16" s="100">
        <v>3</v>
      </c>
      <c r="N16" s="111">
        <v>252</v>
      </c>
      <c r="O16" s="111">
        <f t="shared" si="8"/>
        <v>251635.22874251497</v>
      </c>
      <c r="P16" s="4"/>
      <c r="Q16" s="111">
        <v>90</v>
      </c>
      <c r="R16" s="112">
        <f t="shared" si="3"/>
        <v>89869.724550898201</v>
      </c>
      <c r="S16" s="36"/>
      <c r="AB16" s="3"/>
      <c r="AC16" s="37"/>
    </row>
    <row r="17" spans="1:29" ht="16.5" thickBot="1">
      <c r="A17" s="100">
        <v>4</v>
      </c>
      <c r="B17" s="104">
        <v>627</v>
      </c>
      <c r="C17" s="105">
        <f t="shared" si="4"/>
        <v>4.1716566866267464E-2</v>
      </c>
      <c r="D17" s="106">
        <f t="shared" si="5"/>
        <v>654.90838323353296</v>
      </c>
      <c r="E17" s="100"/>
      <c r="F17" s="104">
        <f t="shared" si="0"/>
        <v>2508</v>
      </c>
      <c r="G17" s="105">
        <f t="shared" si="6"/>
        <v>1.7013194044025369E-2</v>
      </c>
      <c r="H17" s="107">
        <f t="shared" si="1"/>
        <v>2619.6335329341318</v>
      </c>
      <c r="I17" s="108">
        <f t="shared" si="7"/>
        <v>1.7013194044025372E-2</v>
      </c>
      <c r="J17" s="4"/>
      <c r="K17" s="109"/>
      <c r="L17" s="95">
        <f t="shared" si="2"/>
        <v>74</v>
      </c>
      <c r="M17" s="100">
        <v>4</v>
      </c>
      <c r="N17" s="111">
        <v>296</v>
      </c>
      <c r="O17" s="111">
        <f t="shared" si="8"/>
        <v>193852.88143712576</v>
      </c>
      <c r="P17" s="4"/>
      <c r="Q17" s="111">
        <v>90</v>
      </c>
      <c r="R17" s="112">
        <f t="shared" si="3"/>
        <v>58941.754491017964</v>
      </c>
      <c r="S17" s="36"/>
      <c r="AB17" s="5" t="s">
        <v>47</v>
      </c>
      <c r="AC17" s="7">
        <f>AC15+AC13+AC11</f>
        <v>1117487.95</v>
      </c>
    </row>
    <row r="18" spans="1:29" ht="15.75" thickTop="1">
      <c r="A18" s="100">
        <v>5</v>
      </c>
      <c r="B18" s="104">
        <v>49</v>
      </c>
      <c r="C18" s="105">
        <f t="shared" si="4"/>
        <v>3.2601463739188289E-3</v>
      </c>
      <c r="D18" s="106">
        <f t="shared" si="5"/>
        <v>51.181037924151696</v>
      </c>
      <c r="E18" s="100"/>
      <c r="F18" s="104">
        <f t="shared" si="0"/>
        <v>245</v>
      </c>
      <c r="G18" s="105">
        <f t="shared" si="6"/>
        <v>1.6619746972831801E-3</v>
      </c>
      <c r="H18" s="107">
        <f t="shared" si="1"/>
        <v>255.90518962075848</v>
      </c>
      <c r="I18" s="108">
        <f t="shared" si="7"/>
        <v>1.6619746972831803E-3</v>
      </c>
      <c r="J18" s="4"/>
      <c r="K18" s="109"/>
      <c r="L18" s="95">
        <f t="shared" si="2"/>
        <v>74</v>
      </c>
      <c r="M18" s="100">
        <v>5</v>
      </c>
      <c r="N18" s="111">
        <v>370</v>
      </c>
      <c r="O18" s="111">
        <f t="shared" si="8"/>
        <v>18936.984031936128</v>
      </c>
      <c r="P18" s="4"/>
      <c r="Q18" s="111">
        <v>90</v>
      </c>
      <c r="R18" s="112">
        <f t="shared" si="3"/>
        <v>4606.2934131736529</v>
      </c>
      <c r="S18" s="36"/>
      <c r="AB18" s="8"/>
      <c r="AC18" s="38"/>
    </row>
    <row r="19" spans="1:29">
      <c r="A19" s="100">
        <v>6</v>
      </c>
      <c r="B19" s="104">
        <v>1678</v>
      </c>
      <c r="C19" s="105">
        <f t="shared" si="4"/>
        <v>0.11164337990685295</v>
      </c>
      <c r="D19" s="106">
        <f t="shared" si="5"/>
        <v>1752.6894211576846</v>
      </c>
      <c r="E19" s="100"/>
      <c r="F19" s="104">
        <f t="shared" si="0"/>
        <v>10068</v>
      </c>
      <c r="G19" s="105">
        <f t="shared" si="6"/>
        <v>6.8296984703049221E-2</v>
      </c>
      <c r="H19" s="107">
        <f t="shared" si="1"/>
        <v>10516.136526946108</v>
      </c>
      <c r="I19" s="108">
        <f t="shared" si="7"/>
        <v>6.8296984703049221E-2</v>
      </c>
      <c r="J19" s="4"/>
      <c r="K19" s="109"/>
      <c r="L19" s="95">
        <f t="shared" si="2"/>
        <v>69</v>
      </c>
      <c r="M19" s="100">
        <v>6</v>
      </c>
      <c r="N19" s="111">
        <v>414</v>
      </c>
      <c r="O19" s="111">
        <f t="shared" si="8"/>
        <v>725613.42035928147</v>
      </c>
      <c r="P19" s="4"/>
      <c r="Q19" s="111">
        <v>90</v>
      </c>
      <c r="R19" s="112">
        <f t="shared" si="3"/>
        <v>157742.04790419163</v>
      </c>
      <c r="S19" s="36"/>
      <c r="AC19" s="6"/>
    </row>
    <row r="20" spans="1:29">
      <c r="A20" s="100">
        <v>7</v>
      </c>
      <c r="B20" s="104">
        <v>974</v>
      </c>
      <c r="C20" s="105">
        <f t="shared" si="4"/>
        <v>6.4803725881570198E-2</v>
      </c>
      <c r="D20" s="106">
        <f t="shared" si="5"/>
        <v>1017.3536926147706</v>
      </c>
      <c r="E20" s="100"/>
      <c r="F20" s="104">
        <f t="shared" si="0"/>
        <v>6818</v>
      </c>
      <c r="G20" s="105">
        <f t="shared" si="6"/>
        <v>4.6250381575823354E-2</v>
      </c>
      <c r="H20" s="107">
        <f t="shared" si="1"/>
        <v>7121.4758483033938</v>
      </c>
      <c r="I20" s="108">
        <f t="shared" si="7"/>
        <v>4.6250381575823368E-2</v>
      </c>
      <c r="J20" s="4"/>
      <c r="K20" s="109"/>
      <c r="L20" s="95">
        <f t="shared" si="2"/>
        <v>69</v>
      </c>
      <c r="M20" s="100">
        <v>7</v>
      </c>
      <c r="N20" s="111">
        <v>483</v>
      </c>
      <c r="O20" s="111">
        <f t="shared" si="8"/>
        <v>491381.83353293419</v>
      </c>
      <c r="P20" s="4"/>
      <c r="Q20" s="111">
        <v>90</v>
      </c>
      <c r="R20" s="112">
        <f t="shared" si="3"/>
        <v>91561.832335329353</v>
      </c>
      <c r="S20" s="36"/>
      <c r="AA20" s="95" t="s">
        <v>48</v>
      </c>
      <c r="AC20" s="6"/>
    </row>
    <row r="21" spans="1:29">
      <c r="A21" s="100">
        <v>8</v>
      </c>
      <c r="B21" s="104">
        <v>548</v>
      </c>
      <c r="C21" s="105">
        <f t="shared" si="4"/>
        <v>3.6460412508316699E-2</v>
      </c>
      <c r="D21" s="106">
        <f t="shared" si="5"/>
        <v>572.3920159680639</v>
      </c>
      <c r="E21" s="100"/>
      <c r="F21" s="104">
        <f t="shared" si="0"/>
        <v>4384</v>
      </c>
      <c r="G21" s="105">
        <f t="shared" si="6"/>
        <v>2.9739171726079434E-2</v>
      </c>
      <c r="H21" s="107">
        <f t="shared" si="1"/>
        <v>4579.1361277445112</v>
      </c>
      <c r="I21" s="108">
        <f t="shared" si="7"/>
        <v>2.9739171726079441E-2</v>
      </c>
      <c r="J21" s="4"/>
      <c r="K21" s="109"/>
      <c r="L21" s="95">
        <f t="shared" si="2"/>
        <v>69</v>
      </c>
      <c r="M21" s="100">
        <v>8</v>
      </c>
      <c r="N21" s="111">
        <v>552</v>
      </c>
      <c r="O21" s="111">
        <f t="shared" si="8"/>
        <v>315960.39281437127</v>
      </c>
      <c r="P21" s="4"/>
      <c r="Q21" s="111">
        <v>90</v>
      </c>
      <c r="R21" s="112">
        <f t="shared" si="3"/>
        <v>51515.281437125748</v>
      </c>
      <c r="S21" s="36"/>
      <c r="AA21" s="95" t="s">
        <v>49</v>
      </c>
      <c r="AC21" s="6"/>
    </row>
    <row r="22" spans="1:29">
      <c r="A22" s="100">
        <v>9</v>
      </c>
      <c r="B22" s="104">
        <v>1703</v>
      </c>
      <c r="C22" s="105">
        <f t="shared" si="4"/>
        <v>0.11330671989354624</v>
      </c>
      <c r="D22" s="106">
        <f t="shared" si="5"/>
        <v>1778.8021956087823</v>
      </c>
      <c r="E22" s="100"/>
      <c r="F22" s="104">
        <f t="shared" si="0"/>
        <v>15327</v>
      </c>
      <c r="G22" s="105">
        <f t="shared" si="6"/>
        <v>0.10397178034799714</v>
      </c>
      <c r="H22" s="107">
        <f t="shared" si="1"/>
        <v>16009.219760479042</v>
      </c>
      <c r="I22" s="108">
        <f t="shared" si="7"/>
        <v>0.10397178034799716</v>
      </c>
      <c r="J22" s="4"/>
      <c r="K22" s="109"/>
      <c r="L22" s="95">
        <f t="shared" si="2"/>
        <v>64</v>
      </c>
      <c r="M22" s="100">
        <v>9</v>
      </c>
      <c r="N22" s="111">
        <v>576</v>
      </c>
      <c r="O22" s="111">
        <f t="shared" si="8"/>
        <v>1024590.0646706587</v>
      </c>
      <c r="P22" s="4"/>
      <c r="Q22" s="111">
        <v>90</v>
      </c>
      <c r="R22" s="112">
        <f t="shared" si="3"/>
        <v>160092.19760479042</v>
      </c>
      <c r="S22" s="36"/>
      <c r="AC22" s="6"/>
    </row>
    <row r="23" spans="1:29">
      <c r="A23" s="100">
        <v>10</v>
      </c>
      <c r="B23" s="104">
        <v>1106</v>
      </c>
      <c r="C23" s="105">
        <f t="shared" si="4"/>
        <v>7.3586161011310713E-2</v>
      </c>
      <c r="D23" s="106">
        <f t="shared" si="5"/>
        <v>1155.2291417165668</v>
      </c>
      <c r="E23" s="100"/>
      <c r="F23" s="104">
        <f t="shared" si="0"/>
        <v>11060</v>
      </c>
      <c r="G23" s="105">
        <f t="shared" si="6"/>
        <v>7.5026286334497844E-2</v>
      </c>
      <c r="H23" s="107">
        <f t="shared" si="1"/>
        <v>11552.291417165668</v>
      </c>
      <c r="I23" s="108">
        <f t="shared" si="7"/>
        <v>7.5026286334497858E-2</v>
      </c>
      <c r="J23" s="4"/>
      <c r="K23" s="109"/>
      <c r="L23" s="95">
        <f t="shared" si="2"/>
        <v>64</v>
      </c>
      <c r="M23" s="100">
        <v>10</v>
      </c>
      <c r="N23" s="111">
        <v>640</v>
      </c>
      <c r="O23" s="111">
        <f t="shared" si="8"/>
        <v>739346.65069860278</v>
      </c>
      <c r="P23" s="4"/>
      <c r="Q23" s="111">
        <v>90</v>
      </c>
      <c r="R23" s="112">
        <f t="shared" si="3"/>
        <v>103970.62275449101</v>
      </c>
      <c r="S23" s="36"/>
      <c r="AC23" s="6"/>
    </row>
    <row r="24" spans="1:29">
      <c r="A24" s="100">
        <v>11</v>
      </c>
      <c r="B24" s="104">
        <v>454</v>
      </c>
      <c r="C24" s="105">
        <f t="shared" si="4"/>
        <v>3.0206254158349967E-2</v>
      </c>
      <c r="D24" s="106">
        <f t="shared" si="5"/>
        <v>474.20798403193612</v>
      </c>
      <c r="E24" s="100"/>
      <c r="F24" s="104">
        <f t="shared" si="0"/>
        <v>4994</v>
      </c>
      <c r="G24" s="105">
        <f t="shared" si="6"/>
        <v>3.3877149543804906E-2</v>
      </c>
      <c r="H24" s="107">
        <f t="shared" si="1"/>
        <v>5216.2878243512969</v>
      </c>
      <c r="I24" s="108">
        <f t="shared" si="7"/>
        <v>3.3877149543804906E-2</v>
      </c>
      <c r="J24" s="4"/>
      <c r="K24" s="109"/>
      <c r="L24" s="95">
        <f t="shared" si="2"/>
        <v>64</v>
      </c>
      <c r="M24" s="100">
        <v>11</v>
      </c>
      <c r="N24" s="111">
        <v>704</v>
      </c>
      <c r="O24" s="111">
        <f t="shared" si="8"/>
        <v>333842.420758483</v>
      </c>
      <c r="P24" s="4"/>
      <c r="Q24" s="111">
        <v>90</v>
      </c>
      <c r="R24" s="112">
        <f t="shared" si="3"/>
        <v>42678.718562874252</v>
      </c>
      <c r="S24" s="36"/>
      <c r="AC24" s="6"/>
    </row>
    <row r="25" spans="1:29">
      <c r="A25" s="100">
        <v>12</v>
      </c>
      <c r="B25" s="104">
        <v>3456</v>
      </c>
      <c r="C25" s="105">
        <f t="shared" si="4"/>
        <v>0.22994011976047904</v>
      </c>
      <c r="D25" s="106">
        <f t="shared" si="5"/>
        <v>3609.8299401197605</v>
      </c>
      <c r="E25" s="100"/>
      <c r="F25" s="104">
        <f t="shared" si="0"/>
        <v>41472</v>
      </c>
      <c r="G25" s="105">
        <f t="shared" si="6"/>
        <v>0.28132822304378796</v>
      </c>
      <c r="H25" s="107">
        <f t="shared" si="1"/>
        <v>43317.959281437128</v>
      </c>
      <c r="I25" s="108">
        <f t="shared" si="7"/>
        <v>0.28132822304378802</v>
      </c>
      <c r="J25" s="4"/>
      <c r="K25" s="109"/>
      <c r="L25" s="95">
        <f t="shared" si="2"/>
        <v>63</v>
      </c>
      <c r="M25" s="100">
        <v>12</v>
      </c>
      <c r="N25" s="111">
        <v>756</v>
      </c>
      <c r="O25" s="111">
        <f t="shared" si="8"/>
        <v>2729031.4347305391</v>
      </c>
      <c r="P25" s="4"/>
      <c r="Q25" s="111">
        <v>90</v>
      </c>
      <c r="R25" s="112">
        <f t="shared" si="3"/>
        <v>324884.69461077848</v>
      </c>
      <c r="S25" s="36"/>
      <c r="AC25" s="6"/>
    </row>
    <row r="26" spans="1:29">
      <c r="A26" s="100">
        <v>13</v>
      </c>
      <c r="B26" s="104">
        <v>1978</v>
      </c>
      <c r="C26" s="105">
        <f t="shared" si="4"/>
        <v>0.13160345974717233</v>
      </c>
      <c r="D26" s="106">
        <f t="shared" si="5"/>
        <v>2066.0427145708586</v>
      </c>
      <c r="E26" s="100"/>
      <c r="F26" s="104">
        <f t="shared" si="0"/>
        <v>25714</v>
      </c>
      <c r="G26" s="105">
        <f t="shared" si="6"/>
        <v>0.174432723942611</v>
      </c>
      <c r="H26" s="107">
        <f t="shared" si="1"/>
        <v>26858.555289421161</v>
      </c>
      <c r="I26" s="108">
        <f t="shared" si="7"/>
        <v>0.17443272394261106</v>
      </c>
      <c r="J26" s="4"/>
      <c r="K26" s="109"/>
      <c r="L26" s="95">
        <f t="shared" si="2"/>
        <v>63</v>
      </c>
      <c r="M26" s="100">
        <v>13</v>
      </c>
      <c r="N26" s="111">
        <v>819</v>
      </c>
      <c r="O26" s="111">
        <f t="shared" si="8"/>
        <v>1692088.9832335331</v>
      </c>
      <c r="P26" s="4"/>
      <c r="Q26" s="111">
        <v>90</v>
      </c>
      <c r="R26" s="112">
        <f t="shared" si="3"/>
        <v>185943.84431137727</v>
      </c>
      <c r="S26" s="36"/>
      <c r="AC26" s="6"/>
    </row>
    <row r="27" spans="1:29">
      <c r="A27" s="100">
        <v>14</v>
      </c>
      <c r="B27" s="104">
        <v>543</v>
      </c>
      <c r="C27" s="105">
        <f t="shared" si="4"/>
        <v>3.6127744510978041E-2</v>
      </c>
      <c r="D27" s="106">
        <f t="shared" si="5"/>
        <v>567.16946107784429</v>
      </c>
      <c r="E27" s="100"/>
      <c r="F27" s="104">
        <f t="shared" si="0"/>
        <v>7602</v>
      </c>
      <c r="G27" s="105">
        <f t="shared" si="6"/>
        <v>5.1568700607129529E-2</v>
      </c>
      <c r="H27" s="107">
        <f t="shared" si="1"/>
        <v>7940.3724550898205</v>
      </c>
      <c r="I27" s="108">
        <f t="shared" si="7"/>
        <v>5.1568700607129543E-2</v>
      </c>
      <c r="J27" s="4"/>
      <c r="K27" s="109"/>
      <c r="L27" s="95">
        <f t="shared" si="2"/>
        <v>63</v>
      </c>
      <c r="M27" s="100">
        <v>14</v>
      </c>
      <c r="N27" s="111">
        <v>882</v>
      </c>
      <c r="O27" s="111">
        <f t="shared" si="8"/>
        <v>500243.46467065864</v>
      </c>
      <c r="P27" s="4"/>
      <c r="Q27" s="111">
        <v>90</v>
      </c>
      <c r="R27" s="112">
        <f t="shared" si="3"/>
        <v>51045.251497005986</v>
      </c>
      <c r="S27" s="36"/>
      <c r="AC27" s="6"/>
    </row>
    <row r="28" spans="1:29">
      <c r="A28" s="100">
        <v>15</v>
      </c>
      <c r="B28" s="104">
        <v>382</v>
      </c>
      <c r="C28" s="105">
        <f t="shared" si="4"/>
        <v>2.5415834996673319E-2</v>
      </c>
      <c r="D28" s="106">
        <f t="shared" si="5"/>
        <v>399.00319361277445</v>
      </c>
      <c r="E28" s="100"/>
      <c r="F28" s="104">
        <f t="shared" si="0"/>
        <v>5730</v>
      </c>
      <c r="G28" s="105">
        <f t="shared" si="6"/>
        <v>3.8869857205847437E-2</v>
      </c>
      <c r="H28" s="107">
        <f t="shared" si="1"/>
        <v>5985.0479041916169</v>
      </c>
      <c r="I28" s="108">
        <f t="shared" si="7"/>
        <v>3.8869857205847444E-2</v>
      </c>
      <c r="J28" s="4"/>
      <c r="K28" s="109"/>
      <c r="L28" s="95">
        <f t="shared" si="2"/>
        <v>63</v>
      </c>
      <c r="M28" s="100">
        <v>15</v>
      </c>
      <c r="N28" s="111">
        <v>945</v>
      </c>
      <c r="O28" s="111">
        <f t="shared" si="8"/>
        <v>377058.01796407189</v>
      </c>
      <c r="P28" s="4"/>
      <c r="Q28" s="111">
        <v>90</v>
      </c>
      <c r="R28" s="112">
        <f t="shared" si="3"/>
        <v>35910.287425149698</v>
      </c>
      <c r="S28" s="36"/>
      <c r="AC28" s="6"/>
    </row>
    <row r="29" spans="1:29">
      <c r="A29" s="100">
        <v>16</v>
      </c>
      <c r="B29" s="104">
        <v>295</v>
      </c>
      <c r="C29" s="105">
        <f t="shared" si="4"/>
        <v>1.9627411842980707E-2</v>
      </c>
      <c r="D29" s="106">
        <f t="shared" si="5"/>
        <v>308.13073852295412</v>
      </c>
      <c r="E29" s="100"/>
      <c r="F29" s="104">
        <f t="shared" si="0"/>
        <v>4720</v>
      </c>
      <c r="G29" s="105">
        <f t="shared" si="6"/>
        <v>3.2018451310924942E-2</v>
      </c>
      <c r="H29" s="107">
        <f t="shared" si="1"/>
        <v>4930.0918163672659</v>
      </c>
      <c r="I29" s="108">
        <f t="shared" si="7"/>
        <v>3.2018451310924949E-2</v>
      </c>
      <c r="J29" s="4"/>
      <c r="K29" s="109"/>
      <c r="L29" s="95">
        <f t="shared" si="2"/>
        <v>63</v>
      </c>
      <c r="M29" s="100">
        <v>16</v>
      </c>
      <c r="N29" s="111">
        <v>1008</v>
      </c>
      <c r="O29" s="111">
        <f t="shared" si="8"/>
        <v>310595.78443113773</v>
      </c>
      <c r="P29" s="4"/>
      <c r="Q29" s="111">
        <v>90</v>
      </c>
      <c r="R29" s="112">
        <f t="shared" si="3"/>
        <v>27731.766467065871</v>
      </c>
      <c r="S29" s="36"/>
      <c r="AC29" s="6"/>
    </row>
    <row r="30" spans="1:29">
      <c r="A30" s="100">
        <v>17</v>
      </c>
      <c r="B30" s="104">
        <v>107</v>
      </c>
      <c r="C30" s="105">
        <f t="shared" si="4"/>
        <v>7.1190951430472387E-3</v>
      </c>
      <c r="D30" s="106">
        <f t="shared" si="5"/>
        <v>111.7626746506986</v>
      </c>
      <c r="E30" s="100"/>
      <c r="F30" s="104">
        <f t="shared" si="0"/>
        <v>1819</v>
      </c>
      <c r="G30" s="105">
        <f t="shared" si="6"/>
        <v>1.2339314181053489E-2</v>
      </c>
      <c r="H30" s="107">
        <f t="shared" si="1"/>
        <v>1899.9654690618761</v>
      </c>
      <c r="I30" s="108">
        <f t="shared" si="7"/>
        <v>1.2339314181053489E-2</v>
      </c>
      <c r="J30" s="4"/>
      <c r="K30" s="109"/>
      <c r="L30" s="95">
        <f t="shared" si="2"/>
        <v>63</v>
      </c>
      <c r="M30" s="100">
        <v>17</v>
      </c>
      <c r="N30" s="111">
        <v>1071</v>
      </c>
      <c r="O30" s="111">
        <f t="shared" si="8"/>
        <v>119697.82455089821</v>
      </c>
      <c r="P30" s="4"/>
      <c r="Q30" s="111">
        <v>90</v>
      </c>
      <c r="R30" s="112">
        <f t="shared" si="3"/>
        <v>10058.640718562874</v>
      </c>
      <c r="S30" s="36"/>
      <c r="AC30" s="6"/>
    </row>
    <row r="31" spans="1:29">
      <c r="A31" s="100">
        <v>18</v>
      </c>
      <c r="B31" s="104">
        <v>66</v>
      </c>
      <c r="C31" s="105">
        <f t="shared" si="4"/>
        <v>4.3912175648702593E-3</v>
      </c>
      <c r="D31" s="106">
        <f t="shared" si="5"/>
        <v>68.937724550898196</v>
      </c>
      <c r="E31" s="100"/>
      <c r="F31" s="104">
        <f t="shared" si="0"/>
        <v>1188</v>
      </c>
      <c r="G31" s="105">
        <f t="shared" si="6"/>
        <v>8.058881389275175E-3</v>
      </c>
      <c r="H31" s="107">
        <f t="shared" si="1"/>
        <v>1240.8790419161676</v>
      </c>
      <c r="I31" s="108">
        <f t="shared" si="7"/>
        <v>8.0588813892751767E-3</v>
      </c>
      <c r="J31" s="4"/>
      <c r="K31" s="109"/>
      <c r="L31" s="95">
        <f t="shared" si="2"/>
        <v>63</v>
      </c>
      <c r="M31" s="100">
        <v>18</v>
      </c>
      <c r="N31" s="111">
        <v>1134</v>
      </c>
      <c r="O31" s="111">
        <f t="shared" si="8"/>
        <v>78175.379640718558</v>
      </c>
      <c r="P31" s="4"/>
      <c r="Q31" s="111">
        <v>90</v>
      </c>
      <c r="R31" s="112">
        <f t="shared" si="3"/>
        <v>6204.3952095808372</v>
      </c>
      <c r="S31" s="36"/>
      <c r="AC31" s="6"/>
    </row>
    <row r="32" spans="1:29">
      <c r="A32" s="100">
        <v>19</v>
      </c>
      <c r="B32" s="104">
        <v>15</v>
      </c>
      <c r="C32" s="105">
        <f t="shared" si="4"/>
        <v>9.9800399201596798E-4</v>
      </c>
      <c r="D32" s="106">
        <f t="shared" si="5"/>
        <v>15.667664670658681</v>
      </c>
      <c r="E32" s="100"/>
      <c r="F32" s="104">
        <f t="shared" si="0"/>
        <v>285</v>
      </c>
      <c r="G32" s="105">
        <f t="shared" si="6"/>
        <v>1.933317505002883E-3</v>
      </c>
      <c r="H32" s="107">
        <f t="shared" si="1"/>
        <v>297.68562874251495</v>
      </c>
      <c r="I32" s="108">
        <f t="shared" si="7"/>
        <v>1.9333175050028832E-3</v>
      </c>
      <c r="J32" s="4"/>
      <c r="K32" s="109"/>
      <c r="L32" s="95">
        <f t="shared" si="2"/>
        <v>63</v>
      </c>
      <c r="M32" s="100">
        <v>19</v>
      </c>
      <c r="N32" s="111">
        <v>1197</v>
      </c>
      <c r="O32" s="111">
        <f t="shared" si="8"/>
        <v>18754.194610778442</v>
      </c>
      <c r="P32" s="4"/>
      <c r="Q32" s="111">
        <v>90</v>
      </c>
      <c r="R32" s="112">
        <f t="shared" si="3"/>
        <v>1410.0898203592812</v>
      </c>
      <c r="S32" s="36"/>
      <c r="AC32" s="6"/>
    </row>
    <row r="33" spans="1:29">
      <c r="A33" s="100">
        <v>20</v>
      </c>
      <c r="B33" s="104">
        <v>8</v>
      </c>
      <c r="C33" s="105">
        <f t="shared" si="4"/>
        <v>5.322687957418496E-4</v>
      </c>
      <c r="D33" s="106">
        <f t="shared" si="5"/>
        <v>8.356087824351297</v>
      </c>
      <c r="E33" s="100"/>
      <c r="F33" s="104">
        <f t="shared" si="0"/>
        <v>160</v>
      </c>
      <c r="G33" s="105">
        <f t="shared" si="6"/>
        <v>1.0853712308788114E-3</v>
      </c>
      <c r="H33" s="107">
        <f t="shared" si="1"/>
        <v>167.12175648702595</v>
      </c>
      <c r="I33" s="108">
        <f t="shared" si="7"/>
        <v>1.0853712308788116E-3</v>
      </c>
      <c r="J33" s="4"/>
      <c r="K33" s="109"/>
      <c r="L33" s="95">
        <f t="shared" si="2"/>
        <v>63</v>
      </c>
      <c r="M33" s="100">
        <v>20</v>
      </c>
      <c r="N33" s="111">
        <v>1260</v>
      </c>
      <c r="O33" s="111">
        <f t="shared" si="8"/>
        <v>10528.670658682635</v>
      </c>
      <c r="P33" s="4"/>
      <c r="Q33" s="111">
        <v>90</v>
      </c>
      <c r="R33" s="112">
        <f t="shared" si="3"/>
        <v>752.04790419161668</v>
      </c>
      <c r="S33" s="36"/>
      <c r="AC33" s="6"/>
    </row>
    <row r="34" spans="1:29">
      <c r="A34" s="100">
        <v>21</v>
      </c>
      <c r="B34" s="104">
        <v>8</v>
      </c>
      <c r="C34" s="105">
        <f t="shared" si="4"/>
        <v>5.322687957418496E-4</v>
      </c>
      <c r="D34" s="106">
        <f t="shared" si="5"/>
        <v>8.356087824351297</v>
      </c>
      <c r="E34" s="100"/>
      <c r="F34" s="104">
        <f t="shared" si="0"/>
        <v>168</v>
      </c>
      <c r="G34" s="105">
        <f t="shared" si="6"/>
        <v>1.139639792422752E-3</v>
      </c>
      <c r="H34" s="107">
        <f t="shared" si="1"/>
        <v>175.47784431137723</v>
      </c>
      <c r="I34" s="108">
        <f t="shared" si="7"/>
        <v>1.1396397924227522E-3</v>
      </c>
      <c r="J34" s="4"/>
      <c r="K34" s="109"/>
      <c r="L34" s="95">
        <f t="shared" si="2"/>
        <v>63</v>
      </c>
      <c r="M34" s="154">
        <v>21</v>
      </c>
      <c r="N34" s="110">
        <v>1323</v>
      </c>
      <c r="O34" s="111">
        <f t="shared" si="8"/>
        <v>11055.104191616765</v>
      </c>
      <c r="P34" s="4"/>
      <c r="Q34" s="111">
        <v>90</v>
      </c>
      <c r="R34" s="112">
        <f t="shared" si="3"/>
        <v>752.04790419161668</v>
      </c>
      <c r="S34" s="36"/>
    </row>
    <row r="35" spans="1:29">
      <c r="A35" s="100">
        <v>22</v>
      </c>
      <c r="B35" s="104">
        <v>3</v>
      </c>
      <c r="C35" s="105">
        <f t="shared" si="4"/>
        <v>1.996007984031936E-4</v>
      </c>
      <c r="D35" s="106">
        <f t="shared" si="5"/>
        <v>3.1335329341317362</v>
      </c>
      <c r="E35" s="100"/>
      <c r="F35" s="104">
        <f t="shared" si="0"/>
        <v>66</v>
      </c>
      <c r="G35" s="105">
        <f t="shared" si="6"/>
        <v>4.4771563273750974E-4</v>
      </c>
      <c r="H35" s="107">
        <f t="shared" si="1"/>
        <v>68.937724550898196</v>
      </c>
      <c r="I35" s="108">
        <f t="shared" si="7"/>
        <v>4.4771563273750974E-4</v>
      </c>
      <c r="J35" s="4"/>
      <c r="K35" s="109"/>
      <c r="L35" s="95">
        <f t="shared" si="2"/>
        <v>63</v>
      </c>
      <c r="M35" s="100">
        <v>22</v>
      </c>
      <c r="N35" s="153">
        <v>1386</v>
      </c>
      <c r="O35" s="111">
        <f t="shared" si="8"/>
        <v>4343.076646706586</v>
      </c>
      <c r="P35" s="4"/>
      <c r="Q35" s="111">
        <v>90</v>
      </c>
      <c r="R35" s="112">
        <f t="shared" si="3"/>
        <v>282.01796407185623</v>
      </c>
      <c r="S35" s="36"/>
    </row>
    <row r="36" spans="1:29">
      <c r="A36" s="100">
        <v>23</v>
      </c>
      <c r="B36" s="104">
        <v>1</v>
      </c>
      <c r="C36" s="105">
        <f t="shared" si="4"/>
        <v>6.65335994677312E-5</v>
      </c>
      <c r="D36" s="106">
        <f t="shared" si="5"/>
        <v>1.0445109780439121</v>
      </c>
      <c r="E36" s="100"/>
      <c r="F36" s="104">
        <f t="shared" si="0"/>
        <v>23</v>
      </c>
      <c r="G36" s="105">
        <f t="shared" si="6"/>
        <v>1.5602211443882915E-4</v>
      </c>
      <c r="H36" s="107">
        <f t="shared" si="1"/>
        <v>24.02375249500998</v>
      </c>
      <c r="I36" s="108">
        <f t="shared" si="7"/>
        <v>1.5602211443882917E-4</v>
      </c>
      <c r="J36" s="4"/>
      <c r="K36" s="109"/>
      <c r="L36" s="95">
        <f t="shared" si="2"/>
        <v>63</v>
      </c>
      <c r="M36" s="100">
        <v>23</v>
      </c>
      <c r="N36" s="111">
        <v>1449</v>
      </c>
      <c r="O36" s="111">
        <f t="shared" si="8"/>
        <v>1513.4964071856286</v>
      </c>
      <c r="P36" s="4"/>
      <c r="Q36" s="111">
        <v>90</v>
      </c>
      <c r="R36" s="112">
        <f t="shared" si="3"/>
        <v>94.005988023952085</v>
      </c>
      <c r="S36" s="36"/>
    </row>
    <row r="37" spans="1:29">
      <c r="A37" s="100">
        <v>24</v>
      </c>
      <c r="B37" s="104">
        <v>2</v>
      </c>
      <c r="C37" s="105">
        <f t="shared" si="4"/>
        <v>1.330671989354624E-4</v>
      </c>
      <c r="D37" s="106">
        <f t="shared" si="5"/>
        <v>2.0890219560878243</v>
      </c>
      <c r="E37" s="100"/>
      <c r="F37" s="104">
        <f t="shared" si="0"/>
        <v>48</v>
      </c>
      <c r="G37" s="105">
        <f t="shared" si="6"/>
        <v>3.2561136926364344E-4</v>
      </c>
      <c r="H37" s="107">
        <f t="shared" si="1"/>
        <v>50.136526946107779</v>
      </c>
      <c r="I37" s="108">
        <f t="shared" si="7"/>
        <v>3.2561136926364349E-4</v>
      </c>
      <c r="J37" s="4"/>
      <c r="K37" s="109"/>
      <c r="L37" s="95">
        <f t="shared" si="2"/>
        <v>63</v>
      </c>
      <c r="M37" s="100">
        <v>24</v>
      </c>
      <c r="N37" s="111">
        <v>1512</v>
      </c>
      <c r="O37" s="111">
        <f t="shared" si="8"/>
        <v>3158.6011976047903</v>
      </c>
      <c r="P37" s="4"/>
      <c r="Q37" s="111">
        <v>90</v>
      </c>
      <c r="R37" s="112">
        <f t="shared" si="3"/>
        <v>188.01197604790417</v>
      </c>
      <c r="S37" s="36"/>
    </row>
    <row r="38" spans="1:29">
      <c r="A38" s="100">
        <v>25</v>
      </c>
      <c r="B38" s="104">
        <v>0</v>
      </c>
      <c r="C38" s="105">
        <f t="shared" si="4"/>
        <v>0</v>
      </c>
      <c r="D38" s="106">
        <f t="shared" si="5"/>
        <v>0</v>
      </c>
      <c r="E38" s="100"/>
      <c r="F38" s="104">
        <f t="shared" si="0"/>
        <v>0</v>
      </c>
      <c r="G38" s="105">
        <f t="shared" si="6"/>
        <v>0</v>
      </c>
      <c r="H38" s="107">
        <f t="shared" si="1"/>
        <v>0</v>
      </c>
      <c r="I38" s="108">
        <f t="shared" si="7"/>
        <v>0</v>
      </c>
      <c r="J38" s="4"/>
      <c r="K38" s="109"/>
      <c r="L38" s="95">
        <f t="shared" si="2"/>
        <v>63</v>
      </c>
      <c r="M38" s="100">
        <v>25</v>
      </c>
      <c r="N38" s="111">
        <v>1575</v>
      </c>
      <c r="O38" s="111">
        <f t="shared" si="8"/>
        <v>0</v>
      </c>
      <c r="P38" s="4"/>
      <c r="Q38" s="111">
        <v>90</v>
      </c>
      <c r="R38" s="112">
        <f t="shared" si="3"/>
        <v>0</v>
      </c>
      <c r="S38" s="36"/>
    </row>
    <row r="39" spans="1:29">
      <c r="A39" s="100">
        <v>26</v>
      </c>
      <c r="B39" s="104">
        <v>1</v>
      </c>
      <c r="C39" s="105">
        <f t="shared" si="4"/>
        <v>6.65335994677312E-5</v>
      </c>
      <c r="D39" s="106">
        <f t="shared" si="5"/>
        <v>1.0445109780439121</v>
      </c>
      <c r="E39" s="100"/>
      <c r="F39" s="104">
        <f t="shared" si="0"/>
        <v>26</v>
      </c>
      <c r="G39" s="105">
        <f t="shared" si="6"/>
        <v>1.7637282501780686E-4</v>
      </c>
      <c r="H39" s="107">
        <f t="shared" si="1"/>
        <v>27.157285429141716</v>
      </c>
      <c r="I39" s="108">
        <f t="shared" si="7"/>
        <v>1.7637282501780689E-4</v>
      </c>
      <c r="J39" s="4"/>
      <c r="K39" s="109"/>
      <c r="L39" s="95">
        <f t="shared" si="2"/>
        <v>63</v>
      </c>
      <c r="M39" s="100">
        <v>26</v>
      </c>
      <c r="N39" s="111">
        <v>1638</v>
      </c>
      <c r="O39" s="111">
        <f t="shared" si="8"/>
        <v>1710.9089820359281</v>
      </c>
      <c r="P39" s="4"/>
      <c r="Q39" s="111">
        <v>90</v>
      </c>
      <c r="R39" s="112">
        <f t="shared" si="3"/>
        <v>94.005988023952085</v>
      </c>
      <c r="S39" s="36"/>
    </row>
    <row r="40" spans="1:29">
      <c r="A40" s="100">
        <v>27</v>
      </c>
      <c r="B40" s="104">
        <v>0</v>
      </c>
      <c r="C40" s="105">
        <f t="shared" si="4"/>
        <v>0</v>
      </c>
      <c r="D40" s="106">
        <f t="shared" si="5"/>
        <v>0</v>
      </c>
      <c r="E40" s="100"/>
      <c r="F40" s="104">
        <f t="shared" si="0"/>
        <v>0</v>
      </c>
      <c r="G40" s="105">
        <f t="shared" si="6"/>
        <v>0</v>
      </c>
      <c r="H40" s="107">
        <f t="shared" si="1"/>
        <v>0</v>
      </c>
      <c r="I40" s="108">
        <f t="shared" si="7"/>
        <v>0</v>
      </c>
      <c r="J40" s="4"/>
      <c r="K40" s="109"/>
      <c r="L40" s="95">
        <f t="shared" si="2"/>
        <v>63</v>
      </c>
      <c r="M40" s="100">
        <v>27</v>
      </c>
      <c r="N40" s="153">
        <v>1701</v>
      </c>
      <c r="O40" s="111">
        <f t="shared" si="8"/>
        <v>0</v>
      </c>
      <c r="P40" s="4"/>
      <c r="Q40" s="111">
        <v>90</v>
      </c>
      <c r="R40" s="112">
        <f t="shared" si="3"/>
        <v>0</v>
      </c>
      <c r="S40" s="36"/>
    </row>
    <row r="41" spans="1:29">
      <c r="A41" s="100">
        <v>28</v>
      </c>
      <c r="B41" s="104">
        <v>0</v>
      </c>
      <c r="C41" s="105">
        <f t="shared" si="4"/>
        <v>0</v>
      </c>
      <c r="D41" s="106">
        <f t="shared" si="5"/>
        <v>0</v>
      </c>
      <c r="E41" s="100"/>
      <c r="F41" s="104">
        <f t="shared" si="0"/>
        <v>0</v>
      </c>
      <c r="G41" s="105">
        <f t="shared" si="6"/>
        <v>0</v>
      </c>
      <c r="H41" s="107">
        <f t="shared" si="1"/>
        <v>0</v>
      </c>
      <c r="I41" s="108">
        <f t="shared" si="7"/>
        <v>0</v>
      </c>
      <c r="J41" s="4"/>
      <c r="K41" s="109"/>
      <c r="L41" s="95">
        <f t="shared" si="2"/>
        <v>63</v>
      </c>
      <c r="M41" s="100">
        <v>28</v>
      </c>
      <c r="N41" s="111">
        <v>1764</v>
      </c>
      <c r="O41" s="111">
        <f>N41*D41</f>
        <v>0</v>
      </c>
      <c r="P41" s="4"/>
      <c r="Q41" s="111">
        <v>90</v>
      </c>
      <c r="R41" s="112">
        <f t="shared" si="3"/>
        <v>0</v>
      </c>
      <c r="S41" s="36"/>
    </row>
    <row r="42" spans="1:29">
      <c r="A42" s="100">
        <v>29</v>
      </c>
      <c r="B42" s="104">
        <v>0</v>
      </c>
      <c r="C42" s="105">
        <f t="shared" si="4"/>
        <v>0</v>
      </c>
      <c r="D42" s="106">
        <f t="shared" si="5"/>
        <v>0</v>
      </c>
      <c r="E42" s="100"/>
      <c r="F42" s="104">
        <f t="shared" si="0"/>
        <v>0</v>
      </c>
      <c r="G42" s="105">
        <f t="shared" si="6"/>
        <v>0</v>
      </c>
      <c r="H42" s="107">
        <f t="shared" si="1"/>
        <v>0</v>
      </c>
      <c r="I42" s="108">
        <f t="shared" si="7"/>
        <v>0</v>
      </c>
      <c r="J42" s="4"/>
      <c r="K42" s="109"/>
      <c r="L42" s="95">
        <f t="shared" si="2"/>
        <v>63</v>
      </c>
      <c r="M42" s="154">
        <v>29</v>
      </c>
      <c r="N42" s="111">
        <v>1827</v>
      </c>
      <c r="O42" s="111">
        <f t="shared" si="8"/>
        <v>0</v>
      </c>
      <c r="P42" s="4"/>
      <c r="Q42" s="111">
        <v>90</v>
      </c>
      <c r="R42" s="112">
        <f t="shared" si="3"/>
        <v>0</v>
      </c>
      <c r="S42" s="36"/>
    </row>
    <row r="43" spans="1:29">
      <c r="A43" s="100">
        <v>33</v>
      </c>
      <c r="B43" s="104">
        <v>0</v>
      </c>
      <c r="C43" s="105">
        <f t="shared" si="4"/>
        <v>0</v>
      </c>
      <c r="D43" s="106">
        <f t="shared" si="5"/>
        <v>0</v>
      </c>
      <c r="E43" s="100"/>
      <c r="F43" s="104">
        <f t="shared" si="0"/>
        <v>0</v>
      </c>
      <c r="G43" s="105">
        <f t="shared" si="6"/>
        <v>0</v>
      </c>
      <c r="H43" s="107">
        <f t="shared" si="1"/>
        <v>0</v>
      </c>
      <c r="I43" s="108">
        <f t="shared" si="7"/>
        <v>0</v>
      </c>
      <c r="J43" s="4"/>
      <c r="K43" s="109"/>
      <c r="L43" s="95">
        <f t="shared" si="2"/>
        <v>63</v>
      </c>
      <c r="M43" s="154">
        <v>33</v>
      </c>
      <c r="N43" s="153">
        <v>2079</v>
      </c>
      <c r="O43" s="111">
        <f t="shared" si="8"/>
        <v>0</v>
      </c>
      <c r="P43" s="4"/>
      <c r="Q43" s="111">
        <v>90</v>
      </c>
      <c r="R43" s="112">
        <f t="shared" si="3"/>
        <v>0</v>
      </c>
      <c r="S43" s="36"/>
    </row>
    <row r="44" spans="1:29" ht="15.75" thickBot="1">
      <c r="A44" s="115"/>
      <c r="B44" s="39">
        <f>SUM(B14:B43)</f>
        <v>15030</v>
      </c>
      <c r="C44" s="40">
        <f>SUM(C13:C43)</f>
        <v>1</v>
      </c>
      <c r="D44" s="116">
        <f>SUM(D14:D43)</f>
        <v>15698.999999999998</v>
      </c>
      <c r="E44" s="155"/>
      <c r="F44" s="117">
        <f>SUM(F14:F43)</f>
        <v>147415</v>
      </c>
      <c r="G44" s="118">
        <f>SUM(G14:G43)</f>
        <v>1</v>
      </c>
      <c r="H44" s="116">
        <f>SUM(H14:H43)</f>
        <v>153976.58582834329</v>
      </c>
      <c r="I44" s="119">
        <f>SUM(I14:I43)</f>
        <v>1.0000000000000002</v>
      </c>
      <c r="J44" s="41"/>
      <c r="K44" s="120"/>
      <c r="L44" s="42"/>
      <c r="M44" s="3"/>
      <c r="N44" s="3"/>
      <c r="O44" s="121">
        <f>SUM(O14:O43)</f>
        <v>9967092.4648702592</v>
      </c>
      <c r="P44" s="4"/>
      <c r="Q44" s="3"/>
      <c r="R44" s="122">
        <f>SUM(R14:R43)</f>
        <v>1412909.9999999998</v>
      </c>
      <c r="S44" s="43"/>
      <c r="T44" s="42"/>
    </row>
    <row r="45" spans="1:29" ht="15.75" thickTop="1">
      <c r="A45" s="3"/>
      <c r="B45" s="3"/>
      <c r="C45" s="3"/>
      <c r="D45" s="3"/>
      <c r="F45" s="3"/>
      <c r="G45" s="3"/>
      <c r="H45" s="3"/>
      <c r="I45" s="3"/>
      <c r="K45" s="120"/>
      <c r="O45" s="8"/>
      <c r="R45" s="8"/>
    </row>
    <row r="46" spans="1:29">
      <c r="A46" s="98" t="s">
        <v>100</v>
      </c>
      <c r="K46" s="120"/>
    </row>
    <row r="47" spans="1:29">
      <c r="A47" s="98" t="s">
        <v>98</v>
      </c>
      <c r="K47" s="120"/>
      <c r="N47" s="95" t="s">
        <v>7</v>
      </c>
      <c r="Q47" s="95" t="s">
        <v>50</v>
      </c>
    </row>
    <row r="48" spans="1:29">
      <c r="A48" s="44" t="s">
        <v>99</v>
      </c>
      <c r="K48" s="109"/>
      <c r="N48" s="123" t="s">
        <v>51</v>
      </c>
      <c r="Q48" s="123" t="s">
        <v>51</v>
      </c>
    </row>
    <row r="49" spans="1:37" ht="15.75">
      <c r="A49" s="19"/>
      <c r="K49" s="109"/>
      <c r="N49" s="124" t="s">
        <v>66</v>
      </c>
      <c r="O49" s="6">
        <f>SUM(O14:O43)</f>
        <v>9967092.4648702592</v>
      </c>
      <c r="Q49" s="124" t="str">
        <f>N49</f>
        <v>fall  0.4075</v>
      </c>
      <c r="R49" s="6">
        <f>SUM(R14:R43)</f>
        <v>1412909.9999999998</v>
      </c>
      <c r="S49" s="6"/>
      <c r="T49" s="6"/>
      <c r="U49" s="95" t="s">
        <v>3</v>
      </c>
    </row>
    <row r="50" spans="1:37">
      <c r="K50" s="109"/>
      <c r="N50" s="125" t="s">
        <v>68</v>
      </c>
      <c r="O50" s="6">
        <f>O64</f>
        <v>9967092.4648702592</v>
      </c>
      <c r="Q50" s="125" t="str">
        <f>N50</f>
        <v>spr  0.4075</v>
      </c>
      <c r="R50" s="6">
        <f>R64</f>
        <v>1412909.9999999998</v>
      </c>
      <c r="S50" s="6"/>
      <c r="T50" s="6"/>
      <c r="U50" s="95" t="s">
        <v>3</v>
      </c>
    </row>
    <row r="51" spans="1:37">
      <c r="K51" s="109"/>
      <c r="M51" s="6">
        <f>O51/O49</f>
        <v>0.45398773006134974</v>
      </c>
      <c r="N51" s="124" t="s">
        <v>67</v>
      </c>
      <c r="O51" s="6">
        <f>O66</f>
        <v>4524937.6834380319</v>
      </c>
      <c r="Q51" s="124" t="str">
        <f>N51</f>
        <v>sum  0.1850</v>
      </c>
      <c r="R51" s="6">
        <f>R66</f>
        <v>641443.80368098151</v>
      </c>
      <c r="S51" s="6"/>
      <c r="T51" s="6"/>
      <c r="U51" s="95" t="s">
        <v>3</v>
      </c>
    </row>
    <row r="52" spans="1:37" ht="15.75">
      <c r="A52" s="93"/>
      <c r="B52" s="113"/>
      <c r="C52" s="113"/>
      <c r="K52" s="109"/>
      <c r="N52" s="114" t="s">
        <v>3</v>
      </c>
      <c r="Q52" s="114" t="s">
        <v>3</v>
      </c>
      <c r="T52" s="6"/>
    </row>
    <row r="53" spans="1:37" ht="15.75">
      <c r="A53" s="113"/>
      <c r="B53" s="113"/>
      <c r="C53" s="113"/>
      <c r="K53" s="109"/>
      <c r="N53" s="45" t="s">
        <v>52</v>
      </c>
      <c r="O53" s="46">
        <f>O51+O50+O49</f>
        <v>24459122.613178551</v>
      </c>
      <c r="P53" s="47"/>
      <c r="Q53" s="45" t="s">
        <v>52</v>
      </c>
      <c r="R53" s="46">
        <f>R51+R50+R49</f>
        <v>3467263.803680981</v>
      </c>
      <c r="S53" s="48">
        <f>R53+O53</f>
        <v>27926386.416859534</v>
      </c>
      <c r="T53" s="49"/>
      <c r="U53" s="50"/>
      <c r="V53" s="113"/>
      <c r="W53" s="113"/>
      <c r="X53" s="113"/>
      <c r="Y53" s="113"/>
      <c r="Z53" s="113"/>
      <c r="AA53" s="113"/>
      <c r="AB53" s="113"/>
    </row>
    <row r="54" spans="1:37" ht="15.75">
      <c r="A54" s="113"/>
      <c r="B54" s="113"/>
      <c r="C54" s="113"/>
      <c r="K54" s="109"/>
      <c r="N54" s="51" t="s">
        <v>53</v>
      </c>
      <c r="O54" s="52" t="s">
        <v>3</v>
      </c>
      <c r="P54" s="47"/>
      <c r="Q54" s="51" t="s">
        <v>54</v>
      </c>
      <c r="R54" s="52"/>
      <c r="S54" s="53"/>
      <c r="T54" s="49"/>
      <c r="U54" s="50"/>
      <c r="V54" s="113"/>
      <c r="W54" s="113"/>
      <c r="X54" s="113"/>
      <c r="Y54" s="113"/>
      <c r="Z54" s="113"/>
      <c r="AA54" s="113"/>
      <c r="AB54" s="113"/>
    </row>
    <row r="55" spans="1:37" ht="15.75">
      <c r="A55" s="113"/>
      <c r="B55" s="113"/>
      <c r="C55" s="113"/>
      <c r="K55" s="109"/>
      <c r="L55" s="126" t="s">
        <v>70</v>
      </c>
      <c r="N55" s="37"/>
      <c r="O55" s="127">
        <v>150188.01999999999</v>
      </c>
      <c r="Q55" s="3"/>
      <c r="R55" s="3"/>
      <c r="S55" s="3"/>
      <c r="T55" s="6"/>
      <c r="U55" s="50"/>
      <c r="V55" s="113"/>
      <c r="W55" s="113"/>
      <c r="X55" s="113"/>
      <c r="Y55" s="113"/>
      <c r="Z55" s="113"/>
      <c r="AA55" s="113"/>
      <c r="AB55" s="113"/>
    </row>
    <row r="56" spans="1:37">
      <c r="A56" s="113"/>
      <c r="B56" s="113"/>
      <c r="C56" s="128"/>
      <c r="K56" s="109"/>
      <c r="L56" s="126" t="s">
        <v>71</v>
      </c>
      <c r="N56" s="6"/>
      <c r="O56" s="95" t="s">
        <v>3</v>
      </c>
      <c r="T56" s="6"/>
      <c r="U56" s="113"/>
      <c r="V56" s="113"/>
      <c r="W56" s="113"/>
      <c r="X56" s="113"/>
      <c r="Y56" s="113"/>
      <c r="Z56" s="113"/>
      <c r="AA56" s="113"/>
      <c r="AB56" s="113"/>
    </row>
    <row r="57" spans="1:37" ht="15.75">
      <c r="A57" s="113"/>
      <c r="B57" s="113"/>
      <c r="C57" s="128"/>
      <c r="K57" s="109"/>
      <c r="L57" s="129"/>
      <c r="N57" s="92" t="s">
        <v>69</v>
      </c>
      <c r="O57" s="91">
        <f>O53-O55</f>
        <v>24308934.593178552</v>
      </c>
      <c r="T57" s="49"/>
      <c r="U57" s="113"/>
      <c r="V57" s="130"/>
      <c r="W57" s="130"/>
      <c r="X57" s="130"/>
      <c r="Y57" s="113"/>
      <c r="Z57" s="113"/>
      <c r="AA57" s="113"/>
      <c r="AB57" s="113"/>
    </row>
    <row r="58" spans="1:37" ht="15.75" thickBot="1">
      <c r="A58" s="113"/>
      <c r="B58" s="113"/>
      <c r="C58" s="128"/>
      <c r="K58" s="109"/>
      <c r="T58" s="6"/>
      <c r="U58" s="130"/>
      <c r="V58" s="49"/>
      <c r="W58" s="36"/>
      <c r="X58" s="49"/>
      <c r="Y58" s="113"/>
      <c r="Z58" s="113"/>
      <c r="AA58" s="113"/>
      <c r="AB58" s="113"/>
    </row>
    <row r="59" spans="1:37" ht="17.25" thickTop="1" thickBot="1">
      <c r="A59" s="113"/>
      <c r="B59" s="113"/>
      <c r="C59" s="128"/>
      <c r="K59" s="109" t="s">
        <v>3</v>
      </c>
      <c r="L59" s="113"/>
      <c r="M59" s="113"/>
      <c r="O59" s="54" t="s">
        <v>55</v>
      </c>
      <c r="P59" s="131"/>
      <c r="Q59" s="132"/>
      <c r="R59" s="55">
        <f>R53+O57</f>
        <v>27776198.396859534</v>
      </c>
      <c r="S59" s="56"/>
      <c r="T59" s="49"/>
      <c r="U59" s="113"/>
      <c r="V59" s="49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</row>
    <row r="60" spans="1:37" ht="15.75" thickTop="1">
      <c r="A60" s="113"/>
      <c r="B60" s="113"/>
      <c r="C60" s="128"/>
      <c r="K60" s="109" t="s">
        <v>3</v>
      </c>
      <c r="L60" s="113"/>
      <c r="M60" s="113"/>
      <c r="N60" s="6"/>
      <c r="O60" s="8"/>
      <c r="P60" s="8"/>
      <c r="Q60" s="8"/>
      <c r="R60" s="8"/>
      <c r="S60" s="8"/>
      <c r="T60" s="49"/>
      <c r="U60" s="113"/>
      <c r="V60" s="49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</row>
    <row r="61" spans="1:37" ht="15.75">
      <c r="A61" s="113"/>
      <c r="B61" s="113"/>
      <c r="C61" s="128"/>
      <c r="K61" s="109"/>
      <c r="L61" s="113"/>
      <c r="M61" s="113"/>
      <c r="N61" s="58" t="s">
        <v>7</v>
      </c>
      <c r="O61" s="59"/>
      <c r="P61" s="59"/>
      <c r="Q61" s="133" t="s">
        <v>50</v>
      </c>
      <c r="R61" s="60"/>
      <c r="S61" s="61"/>
      <c r="T61" s="49"/>
      <c r="U61" s="130"/>
      <c r="V61" s="49"/>
      <c r="W61" s="113"/>
      <c r="X61" s="49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</row>
    <row r="62" spans="1:37" ht="15.75">
      <c r="A62" s="113"/>
      <c r="B62" s="113"/>
      <c r="C62" s="128"/>
      <c r="K62" s="109"/>
      <c r="L62" s="113"/>
      <c r="M62" s="113"/>
      <c r="N62" s="134" t="s">
        <v>56</v>
      </c>
      <c r="O62" s="57"/>
      <c r="P62" s="113"/>
      <c r="Q62" s="49"/>
      <c r="R62" s="57"/>
      <c r="S62" s="62"/>
      <c r="T62" s="49"/>
      <c r="U62" s="65"/>
      <c r="V62" s="49"/>
      <c r="W62" s="113"/>
      <c r="X62" s="49"/>
      <c r="Y62" s="49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</row>
    <row r="63" spans="1:37">
      <c r="A63" s="113"/>
      <c r="B63" s="113"/>
      <c r="C63" s="128"/>
      <c r="K63" s="109"/>
      <c r="L63" s="113"/>
      <c r="M63" s="113"/>
      <c r="N63" s="135" t="s">
        <v>57</v>
      </c>
      <c r="O63" s="63">
        <f>O49</f>
        <v>9967092.4648702592</v>
      </c>
      <c r="P63" s="136">
        <v>0.40749999999999997</v>
      </c>
      <c r="Q63" s="135" t="s">
        <v>57</v>
      </c>
      <c r="R63" s="63">
        <f>R49</f>
        <v>1412909.9999999998</v>
      </c>
      <c r="S63" s="137">
        <f>P63</f>
        <v>0.40749999999999997</v>
      </c>
      <c r="T63" s="49"/>
      <c r="U63" s="65"/>
      <c r="V63" s="49"/>
      <c r="W63" s="113"/>
      <c r="X63" s="49"/>
      <c r="Y63" s="49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</row>
    <row r="64" spans="1:37" ht="15.75">
      <c r="A64" s="113"/>
      <c r="B64" s="113"/>
      <c r="C64" s="113"/>
      <c r="K64" s="109"/>
      <c r="L64" s="113"/>
      <c r="M64" s="113"/>
      <c r="N64" s="138" t="s">
        <v>58</v>
      </c>
      <c r="O64" s="64">
        <f>O69*P64</f>
        <v>9967092.4648702592</v>
      </c>
      <c r="P64" s="136">
        <v>0.40749999999999997</v>
      </c>
      <c r="Q64" s="138" t="s">
        <v>58</v>
      </c>
      <c r="R64" s="64">
        <f>R69*S64</f>
        <v>1412909.9999999998</v>
      </c>
      <c r="S64" s="137">
        <f>P64</f>
        <v>0.40749999999999997</v>
      </c>
      <c r="T64" s="49"/>
      <c r="U64" s="50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</row>
    <row r="65" spans="1:37">
      <c r="K65" s="109"/>
      <c r="L65" s="113"/>
      <c r="M65" s="113"/>
      <c r="N65" s="138" t="s">
        <v>60</v>
      </c>
      <c r="O65" s="66">
        <f>O63+O64</f>
        <v>19934184.929740518</v>
      </c>
      <c r="P65" s="139"/>
      <c r="Q65" s="138" t="s">
        <v>60</v>
      </c>
      <c r="R65" s="66">
        <f>R63+R64</f>
        <v>2825819.9999999995</v>
      </c>
      <c r="S65" s="137"/>
      <c r="T65" s="49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</row>
    <row r="66" spans="1:37">
      <c r="K66" s="109"/>
      <c r="L66" s="113"/>
      <c r="M66" s="113"/>
      <c r="N66" s="138" t="s">
        <v>61</v>
      </c>
      <c r="O66" s="66">
        <f>O69*P66</f>
        <v>4524937.6834380319</v>
      </c>
      <c r="P66" s="136">
        <v>0.185</v>
      </c>
      <c r="Q66" s="138" t="s">
        <v>61</v>
      </c>
      <c r="R66" s="66">
        <f>R69*S66</f>
        <v>641443.80368098151</v>
      </c>
      <c r="S66" s="137">
        <f>P66</f>
        <v>0.185</v>
      </c>
      <c r="T66" s="49"/>
      <c r="U66" s="113"/>
      <c r="V66" s="130"/>
      <c r="W66" s="130"/>
      <c r="X66" s="130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:37">
      <c r="K67" s="109"/>
      <c r="L67" s="113"/>
      <c r="M67" s="113"/>
      <c r="N67" s="138">
        <v>100</v>
      </c>
      <c r="O67" s="63">
        <f>O65+O66</f>
        <v>24459122.613178551</v>
      </c>
      <c r="P67" s="36"/>
      <c r="Q67" s="138">
        <v>100</v>
      </c>
      <c r="R67" s="63">
        <f>R65+R66</f>
        <v>3467263.803680981</v>
      </c>
      <c r="S67" s="67"/>
      <c r="T67" s="49"/>
      <c r="U67" s="113"/>
      <c r="V67" s="36"/>
      <c r="W67" s="49"/>
      <c r="X67" s="49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</row>
    <row r="68" spans="1:37" ht="15.75">
      <c r="K68" s="140"/>
      <c r="L68" s="113"/>
      <c r="M68" s="113"/>
      <c r="N68" s="141"/>
      <c r="O68" s="68"/>
      <c r="P68" s="86"/>
      <c r="Q68" s="142"/>
      <c r="R68" s="68"/>
      <c r="S68" s="87"/>
      <c r="T68" s="49"/>
      <c r="U68" s="113"/>
      <c r="V68" s="36"/>
      <c r="W68" s="49"/>
      <c r="X68" s="49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</row>
    <row r="69" spans="1:37">
      <c r="A69" s="114">
        <f>'23,259 Students FY 2010 DE'!O57</f>
        <v>11050677.22714081</v>
      </c>
      <c r="B69" s="1" t="s">
        <v>82</v>
      </c>
      <c r="K69" s="140"/>
      <c r="L69" s="113"/>
      <c r="M69" s="113"/>
      <c r="N69" s="36"/>
      <c r="O69" s="49">
        <f>O63/0.4075</f>
        <v>24459122.613178551</v>
      </c>
      <c r="P69" s="36"/>
      <c r="Q69" s="36"/>
      <c r="R69" s="49">
        <f>R63/0.4075</f>
        <v>3467263.803680981</v>
      </c>
      <c r="S69" s="36"/>
      <c r="T69" s="49"/>
      <c r="U69" s="113"/>
      <c r="V69" s="36"/>
      <c r="W69" s="49"/>
      <c r="X69" s="49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</row>
    <row r="70" spans="1:37">
      <c r="K70" s="140"/>
      <c r="L70" s="113"/>
      <c r="M70" s="113"/>
      <c r="N70" s="113"/>
      <c r="O70" s="113"/>
      <c r="P70" s="113"/>
      <c r="Q70" s="113"/>
      <c r="R70" s="113"/>
      <c r="S70" s="113"/>
      <c r="T70" s="49"/>
      <c r="U70" s="113"/>
      <c r="V70" s="113"/>
      <c r="W70" s="49"/>
      <c r="X70" s="49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</row>
    <row r="71" spans="1:37" ht="15.75">
      <c r="L71" s="113"/>
      <c r="M71" s="113"/>
      <c r="N71" s="49"/>
      <c r="O71" s="57"/>
      <c r="P71" s="113"/>
      <c r="Q71" s="49"/>
      <c r="R71" s="57"/>
      <c r="S71" s="57"/>
      <c r="T71" s="49"/>
      <c r="U71" s="113"/>
      <c r="V71" s="113"/>
      <c r="W71" s="49"/>
      <c r="X71" s="49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</row>
    <row r="72" spans="1:37" ht="15.7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4"/>
      <c r="M72" s="144"/>
      <c r="N72" s="145"/>
      <c r="O72" s="69"/>
      <c r="P72" s="144"/>
      <c r="Q72" s="145"/>
      <c r="R72" s="69"/>
      <c r="S72" s="69"/>
      <c r="T72" s="49"/>
      <c r="U72" s="113"/>
      <c r="V72" s="113"/>
      <c r="W72" s="49"/>
      <c r="X72" s="49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</row>
    <row r="73" spans="1:37" ht="15.75">
      <c r="L73" s="113"/>
      <c r="M73" s="146"/>
      <c r="N73" s="70"/>
      <c r="O73" s="71"/>
      <c r="P73" s="146"/>
      <c r="Q73" s="70"/>
      <c r="R73" s="71"/>
      <c r="S73" s="71"/>
      <c r="T73" s="70"/>
      <c r="U73" s="146"/>
      <c r="V73" s="146"/>
      <c r="W73" s="147"/>
      <c r="X73" s="49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</row>
    <row r="74" spans="1:37" ht="15.75">
      <c r="L74" s="113"/>
      <c r="M74" s="146"/>
      <c r="N74" s="70"/>
      <c r="O74" s="71"/>
      <c r="P74" s="146"/>
      <c r="Q74" s="70"/>
      <c r="R74" s="71"/>
      <c r="S74" s="71"/>
      <c r="T74" s="70"/>
      <c r="U74" s="146"/>
      <c r="V74" s="146"/>
      <c r="W74" s="147"/>
      <c r="X74" s="49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</row>
    <row r="75" spans="1:37">
      <c r="L75" s="113"/>
      <c r="M75" s="146"/>
      <c r="N75" s="148"/>
      <c r="O75" s="148"/>
      <c r="P75" s="146"/>
      <c r="Q75" s="146"/>
      <c r="R75" s="148"/>
      <c r="S75" s="148"/>
      <c r="T75" s="70"/>
      <c r="U75" s="146"/>
      <c r="V75" s="146"/>
      <c r="W75" s="147"/>
      <c r="X75" s="49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</row>
    <row r="76" spans="1:37">
      <c r="L76" s="113"/>
      <c r="M76" s="146"/>
      <c r="N76" s="148"/>
      <c r="O76" s="72"/>
      <c r="P76" s="146"/>
      <c r="Q76" s="148"/>
      <c r="R76" s="72"/>
      <c r="S76" s="72"/>
      <c r="T76" s="70"/>
      <c r="U76" s="146"/>
      <c r="V76" s="146"/>
      <c r="W76" s="147"/>
      <c r="X76" s="49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 ht="15.75">
      <c r="L77" s="113"/>
      <c r="M77" s="146"/>
      <c r="N77" s="146"/>
      <c r="O77" s="146"/>
      <c r="P77" s="146"/>
      <c r="Q77" s="146"/>
      <c r="R77" s="73"/>
      <c r="S77" s="73"/>
      <c r="T77" s="70"/>
      <c r="U77" s="146"/>
      <c r="V77" s="146"/>
      <c r="W77" s="147"/>
      <c r="X77" s="49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</row>
    <row r="78" spans="1:37" ht="15.75">
      <c r="L78" s="113"/>
      <c r="M78" s="146"/>
      <c r="N78" s="70"/>
      <c r="O78" s="71"/>
      <c r="P78" s="74"/>
      <c r="Q78" s="70"/>
      <c r="R78" s="71"/>
      <c r="S78" s="71"/>
      <c r="T78" s="70"/>
      <c r="U78" s="146"/>
      <c r="V78" s="146"/>
      <c r="W78" s="147"/>
      <c r="X78" s="49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</row>
    <row r="79" spans="1:37" ht="15.75">
      <c r="L79" s="113"/>
      <c r="M79" s="146"/>
      <c r="N79" s="70"/>
      <c r="O79" s="71"/>
      <c r="P79" s="146"/>
      <c r="Q79" s="70"/>
      <c r="R79" s="71"/>
      <c r="S79" s="71"/>
      <c r="T79" s="70"/>
      <c r="U79" s="146"/>
      <c r="V79" s="146"/>
      <c r="W79" s="147"/>
      <c r="X79" s="49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</row>
    <row r="80" spans="1:37" ht="15.75">
      <c r="L80" s="113"/>
      <c r="M80" s="146"/>
      <c r="N80" s="70"/>
      <c r="O80" s="71"/>
      <c r="P80" s="146"/>
      <c r="Q80" s="70"/>
      <c r="R80" s="71"/>
      <c r="S80" s="71"/>
      <c r="T80" s="70"/>
      <c r="U80" s="146"/>
      <c r="V80" s="146"/>
      <c r="W80" s="147"/>
      <c r="X80" s="49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</row>
    <row r="81" spans="1:37" ht="15.75">
      <c r="L81" s="113"/>
      <c r="M81" s="146"/>
      <c r="N81" s="70"/>
      <c r="O81" s="71"/>
      <c r="P81" s="146"/>
      <c r="Q81" s="70"/>
      <c r="R81" s="71"/>
      <c r="S81" s="71"/>
      <c r="T81" s="70"/>
      <c r="U81" s="146"/>
      <c r="V81" s="146"/>
      <c r="W81" s="147"/>
      <c r="X81" s="49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</row>
    <row r="82" spans="1:37">
      <c r="L82" s="113"/>
      <c r="M82" s="146"/>
      <c r="N82" s="148"/>
      <c r="O82" s="148"/>
      <c r="P82" s="146"/>
      <c r="Q82" s="146"/>
      <c r="R82" s="148"/>
      <c r="S82" s="148"/>
      <c r="T82" s="70"/>
      <c r="U82" s="146"/>
      <c r="V82" s="146"/>
      <c r="W82" s="49"/>
      <c r="X82" s="147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</row>
    <row r="83" spans="1:37">
      <c r="L83" s="113"/>
      <c r="M83" s="146"/>
      <c r="N83" s="148"/>
      <c r="O83" s="72"/>
      <c r="P83" s="146"/>
      <c r="Q83" s="148"/>
      <c r="R83" s="72"/>
      <c r="S83" s="72"/>
      <c r="T83" s="70"/>
      <c r="U83" s="146"/>
      <c r="V83" s="146"/>
      <c r="W83" s="49"/>
      <c r="X83" s="147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</row>
    <row r="84" spans="1:37" ht="15.75">
      <c r="L84" s="113"/>
      <c r="M84" s="146"/>
      <c r="N84" s="146"/>
      <c r="O84" s="146"/>
      <c r="P84" s="146"/>
      <c r="Q84" s="146"/>
      <c r="R84" s="73"/>
      <c r="S84" s="73"/>
      <c r="T84" s="70"/>
      <c r="U84" s="146"/>
      <c r="V84" s="146"/>
      <c r="W84" s="49"/>
      <c r="X84" s="147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</row>
    <row r="85" spans="1:37" ht="15.75">
      <c r="L85" s="113"/>
      <c r="M85" s="146"/>
      <c r="N85" s="70"/>
      <c r="O85" s="71"/>
      <c r="P85" s="74"/>
      <c r="Q85" s="70"/>
      <c r="R85" s="71"/>
      <c r="S85" s="71"/>
      <c r="T85" s="70"/>
      <c r="U85" s="146"/>
      <c r="V85" s="146"/>
      <c r="W85" s="49"/>
      <c r="X85" s="147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</row>
    <row r="86" spans="1:37" ht="15.75">
      <c r="L86" s="113"/>
      <c r="M86" s="146"/>
      <c r="N86" s="70"/>
      <c r="O86" s="146"/>
      <c r="P86" s="148"/>
      <c r="Q86" s="71"/>
      <c r="R86" s="71"/>
      <c r="S86" s="70"/>
      <c r="T86" s="70"/>
      <c r="U86" s="146"/>
      <c r="V86" s="146"/>
      <c r="W86" s="49"/>
      <c r="X86" s="49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</row>
    <row r="87" spans="1:37" ht="15.75">
      <c r="L87" s="113"/>
      <c r="M87" s="146"/>
      <c r="N87" s="70"/>
      <c r="O87" s="71"/>
      <c r="P87" s="74"/>
      <c r="Q87" s="70"/>
      <c r="R87" s="71"/>
      <c r="S87" s="71"/>
      <c r="T87" s="70"/>
      <c r="U87" s="146"/>
      <c r="V87" s="146"/>
      <c r="W87" s="49"/>
      <c r="X87" s="49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</row>
    <row r="88" spans="1:37" ht="15.7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4"/>
      <c r="M88" s="146"/>
      <c r="N88" s="148"/>
      <c r="O88" s="71"/>
      <c r="P88" s="146"/>
      <c r="Q88" s="148"/>
      <c r="R88" s="71"/>
      <c r="S88" s="71"/>
      <c r="T88" s="70"/>
      <c r="U88" s="146"/>
      <c r="V88" s="146"/>
      <c r="W88" s="49"/>
      <c r="X88" s="49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</row>
    <row r="89" spans="1:37" ht="15.75">
      <c r="A89" s="143" t="s">
        <v>59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4"/>
      <c r="M89" s="146"/>
      <c r="N89" s="148"/>
      <c r="O89" s="71"/>
      <c r="P89" s="146"/>
      <c r="Q89" s="148"/>
      <c r="R89" s="71"/>
      <c r="S89" s="71"/>
      <c r="T89" s="70"/>
      <c r="U89" s="146"/>
      <c r="V89" s="146"/>
      <c r="W89" s="49"/>
      <c r="X89" s="49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</row>
    <row r="90" spans="1:37" ht="23.25">
      <c r="A90" s="75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70"/>
      <c r="O90" s="71"/>
      <c r="P90" s="146"/>
      <c r="Q90" s="70"/>
      <c r="R90" s="71"/>
      <c r="S90" s="71"/>
      <c r="T90" s="70"/>
      <c r="U90" s="146"/>
      <c r="V90" s="146"/>
      <c r="W90" s="49"/>
      <c r="X90" s="49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</row>
    <row r="91" spans="1:37" ht="15.7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70"/>
      <c r="O91" s="71"/>
      <c r="P91" s="146"/>
      <c r="Q91" s="70"/>
      <c r="R91" s="71"/>
      <c r="S91" s="71"/>
      <c r="T91" s="70"/>
      <c r="U91" s="146"/>
      <c r="V91" s="146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</row>
    <row r="92" spans="1:37" ht="15.7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70"/>
      <c r="O92" s="71"/>
      <c r="P92" s="146"/>
      <c r="Q92" s="70"/>
      <c r="R92" s="71"/>
      <c r="S92" s="71"/>
      <c r="T92" s="70"/>
      <c r="U92" s="146"/>
      <c r="V92" s="146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</row>
    <row r="93" spans="1:37" ht="15.7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70"/>
      <c r="O93" s="71"/>
      <c r="P93" s="146"/>
      <c r="Q93" s="70"/>
      <c r="R93" s="71"/>
      <c r="S93" s="71"/>
      <c r="T93" s="70"/>
      <c r="U93" s="146"/>
      <c r="V93" s="146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</row>
    <row r="94" spans="1:37" ht="15.75">
      <c r="A94" s="146"/>
      <c r="B94" s="146"/>
      <c r="C94" s="146"/>
      <c r="D94" s="146"/>
      <c r="E94" s="146"/>
      <c r="F94" s="146"/>
      <c r="G94" s="146"/>
      <c r="H94" s="146"/>
      <c r="I94" s="74"/>
      <c r="J94" s="146"/>
      <c r="K94" s="146"/>
      <c r="L94" s="146"/>
      <c r="M94" s="146"/>
      <c r="N94" s="70"/>
      <c r="O94" s="71"/>
      <c r="P94" s="146"/>
      <c r="Q94" s="70"/>
      <c r="R94" s="71"/>
      <c r="S94" s="71"/>
      <c r="T94" s="70"/>
      <c r="U94" s="146"/>
      <c r="V94" s="146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</row>
    <row r="95" spans="1:37" ht="15.75">
      <c r="A95" s="146"/>
      <c r="B95" s="146"/>
      <c r="C95" s="146"/>
      <c r="D95" s="146"/>
      <c r="E95" s="74"/>
      <c r="F95" s="146"/>
      <c r="G95" s="148"/>
      <c r="H95" s="72"/>
      <c r="I95" s="146"/>
      <c r="J95" s="146"/>
      <c r="K95" s="146"/>
      <c r="L95" s="146"/>
      <c r="M95" s="146"/>
      <c r="N95" s="70"/>
      <c r="O95" s="71"/>
      <c r="P95" s="146"/>
      <c r="Q95" s="70"/>
      <c r="R95" s="71"/>
      <c r="S95" s="71"/>
      <c r="T95" s="70"/>
      <c r="U95" s="146"/>
      <c r="V95" s="70"/>
      <c r="W95" s="49"/>
      <c r="X95" s="49"/>
      <c r="Y95" s="49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</row>
    <row r="96" spans="1:37" ht="15.75">
      <c r="A96" s="146"/>
      <c r="B96" s="146"/>
      <c r="C96" s="74"/>
      <c r="D96" s="146"/>
      <c r="E96" s="74"/>
      <c r="F96" s="146"/>
      <c r="G96" s="148"/>
      <c r="H96" s="72"/>
      <c r="I96" s="146"/>
      <c r="J96" s="146"/>
      <c r="K96" s="146"/>
      <c r="L96" s="146"/>
      <c r="M96" s="146"/>
      <c r="N96" s="70"/>
      <c r="O96" s="71"/>
      <c r="P96" s="146"/>
      <c r="Q96" s="70"/>
      <c r="R96" s="71"/>
      <c r="S96" s="71"/>
      <c r="T96" s="70"/>
      <c r="U96" s="146"/>
      <c r="V96" s="70"/>
      <c r="W96" s="49"/>
      <c r="X96" s="49"/>
      <c r="Y96" s="49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</row>
    <row r="97" spans="1:37" ht="15.75">
      <c r="A97" s="146"/>
      <c r="B97" s="146"/>
      <c r="C97" s="146"/>
      <c r="D97" s="146"/>
      <c r="E97" s="74"/>
      <c r="F97" s="146"/>
      <c r="G97" s="148"/>
      <c r="H97" s="72"/>
      <c r="I97" s="74"/>
      <c r="J97" s="146"/>
      <c r="K97" s="146"/>
      <c r="L97" s="146"/>
      <c r="M97" s="146"/>
      <c r="N97" s="70"/>
      <c r="O97" s="71"/>
      <c r="P97" s="146"/>
      <c r="Q97" s="70"/>
      <c r="R97" s="71"/>
      <c r="S97" s="71"/>
      <c r="T97" s="70"/>
      <c r="U97" s="146"/>
      <c r="V97" s="70"/>
      <c r="W97" s="49"/>
      <c r="X97" s="49"/>
      <c r="Y97" s="49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</row>
    <row r="98" spans="1:37" ht="15.75">
      <c r="A98" s="146"/>
      <c r="B98" s="146"/>
      <c r="C98" s="146"/>
      <c r="D98" s="148"/>
      <c r="E98" s="74"/>
      <c r="F98" s="146"/>
      <c r="G98" s="148"/>
      <c r="H98" s="72"/>
      <c r="I98" s="146"/>
      <c r="J98" s="146"/>
      <c r="K98" s="146"/>
      <c r="L98" s="146"/>
      <c r="M98" s="146"/>
      <c r="N98" s="70"/>
      <c r="O98" s="71"/>
      <c r="P98" s="146"/>
      <c r="Q98" s="70"/>
      <c r="R98" s="71"/>
      <c r="S98" s="71"/>
      <c r="T98" s="70"/>
      <c r="U98" s="146"/>
      <c r="V98" s="70"/>
      <c r="W98" s="49"/>
      <c r="X98" s="49"/>
      <c r="Y98" s="49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</row>
    <row r="99" spans="1:37" ht="15.75">
      <c r="A99" s="146"/>
      <c r="B99" s="146"/>
      <c r="C99" s="146"/>
      <c r="D99" s="148"/>
      <c r="E99" s="74"/>
      <c r="F99" s="146"/>
      <c r="G99" s="148"/>
      <c r="H99" s="72"/>
      <c r="I99" s="74"/>
      <c r="J99" s="146"/>
      <c r="K99" s="146"/>
      <c r="L99" s="146"/>
      <c r="M99" s="146"/>
      <c r="N99" s="70"/>
      <c r="O99" s="71"/>
      <c r="P99" s="146"/>
      <c r="Q99" s="70"/>
      <c r="R99" s="71"/>
      <c r="S99" s="71"/>
      <c r="T99" s="71"/>
      <c r="U99" s="146"/>
      <c r="V99" s="70"/>
      <c r="W99" s="49"/>
      <c r="X99" s="49"/>
      <c r="Y99" s="49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</row>
    <row r="100" spans="1:37" ht="15.75">
      <c r="A100" s="146"/>
      <c r="B100" s="146"/>
      <c r="C100" s="146"/>
      <c r="D100" s="148"/>
      <c r="E100" s="74"/>
      <c r="F100" s="146"/>
      <c r="G100" s="74"/>
      <c r="H100" s="74"/>
      <c r="I100" s="146"/>
      <c r="J100" s="146"/>
      <c r="K100" s="146"/>
      <c r="L100" s="146"/>
      <c r="M100" s="146"/>
      <c r="N100" s="70"/>
      <c r="O100" s="71"/>
      <c r="P100" s="146"/>
      <c r="Q100" s="70"/>
      <c r="R100" s="71"/>
      <c r="S100" s="71"/>
      <c r="T100" s="71"/>
      <c r="U100" s="146"/>
      <c r="V100" s="70"/>
      <c r="W100" s="49"/>
      <c r="X100" s="49"/>
      <c r="Y100" s="49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</row>
    <row r="101" spans="1:37" ht="15.75">
      <c r="A101" s="146"/>
      <c r="B101" s="74"/>
      <c r="C101" s="74"/>
      <c r="D101" s="74"/>
      <c r="E101" s="146"/>
      <c r="F101" s="146"/>
      <c r="G101" s="146"/>
      <c r="H101" s="146"/>
      <c r="I101" s="146"/>
      <c r="J101" s="146"/>
      <c r="K101" s="146"/>
      <c r="L101" s="146"/>
      <c r="M101" s="146"/>
      <c r="N101" s="70"/>
      <c r="O101" s="71"/>
      <c r="P101" s="146"/>
      <c r="Q101" s="70"/>
      <c r="R101" s="71"/>
      <c r="S101" s="71"/>
      <c r="T101" s="71"/>
      <c r="U101" s="146"/>
      <c r="V101" s="70"/>
      <c r="W101" s="49"/>
      <c r="X101" s="49"/>
      <c r="Y101" s="49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</row>
    <row r="102" spans="1:37" ht="15.7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70"/>
      <c r="O102" s="71"/>
      <c r="P102" s="146"/>
      <c r="Q102" s="70"/>
      <c r="R102" s="71"/>
      <c r="S102" s="71"/>
      <c r="T102" s="71"/>
      <c r="U102" s="146"/>
      <c r="V102" s="70"/>
      <c r="W102" s="49"/>
      <c r="X102" s="49"/>
      <c r="Y102" s="49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</row>
    <row r="103" spans="1:37" ht="15.75">
      <c r="A103" s="146"/>
      <c r="B103" s="146"/>
      <c r="C103" s="146"/>
      <c r="D103" s="146"/>
      <c r="E103" s="146"/>
      <c r="F103" s="74"/>
      <c r="G103" s="146"/>
      <c r="H103" s="146"/>
      <c r="I103" s="146"/>
      <c r="J103" s="146"/>
      <c r="K103" s="74"/>
      <c r="L103" s="74"/>
      <c r="M103" s="146"/>
      <c r="N103" s="70"/>
      <c r="O103" s="71"/>
      <c r="P103" s="146"/>
      <c r="Q103" s="146"/>
      <c r="R103" s="146"/>
      <c r="S103" s="146"/>
      <c r="T103" s="146"/>
      <c r="U103" s="146"/>
      <c r="V103" s="70"/>
      <c r="W103" s="49"/>
      <c r="X103" s="49"/>
      <c r="Y103" s="49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</row>
    <row r="104" spans="1:37" ht="15.75">
      <c r="A104" s="146"/>
      <c r="B104" s="149"/>
      <c r="C104" s="149"/>
      <c r="D104" s="149"/>
      <c r="E104" s="149"/>
      <c r="F104" s="74"/>
      <c r="G104" s="149"/>
      <c r="H104" s="149"/>
      <c r="I104" s="149"/>
      <c r="J104" s="149"/>
      <c r="K104" s="74"/>
      <c r="L104" s="74"/>
      <c r="M104" s="146"/>
      <c r="N104" s="70"/>
      <c r="O104" s="71"/>
      <c r="P104" s="146"/>
      <c r="Q104" s="146"/>
      <c r="R104" s="146"/>
      <c r="S104" s="146"/>
      <c r="T104" s="146"/>
      <c r="U104" s="146"/>
      <c r="V104" s="70"/>
      <c r="W104" s="49"/>
      <c r="X104" s="49"/>
      <c r="Y104" s="49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</row>
    <row r="105" spans="1:37" ht="15.75">
      <c r="A105" s="146"/>
      <c r="B105" s="146"/>
      <c r="C105" s="150"/>
      <c r="D105" s="150"/>
      <c r="E105" s="146"/>
      <c r="F105" s="74"/>
      <c r="G105" s="146"/>
      <c r="H105" s="148"/>
      <c r="I105" s="150"/>
      <c r="J105" s="146"/>
      <c r="K105" s="74"/>
      <c r="L105" s="74"/>
      <c r="M105" s="146"/>
      <c r="N105" s="70"/>
      <c r="O105" s="71"/>
      <c r="P105" s="146"/>
      <c r="Q105" s="146"/>
      <c r="R105" s="146"/>
      <c r="S105" s="146"/>
      <c r="T105" s="146"/>
      <c r="U105" s="146"/>
      <c r="V105" s="70"/>
      <c r="W105" s="49"/>
      <c r="X105" s="49"/>
      <c r="Y105" s="49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</row>
    <row r="106" spans="1:37" ht="15.75">
      <c r="A106" s="76"/>
      <c r="B106" s="146"/>
      <c r="C106" s="150"/>
      <c r="D106" s="150"/>
      <c r="E106" s="146"/>
      <c r="F106" s="74"/>
      <c r="G106" s="146"/>
      <c r="H106" s="148"/>
      <c r="I106" s="150"/>
      <c r="J106" s="146"/>
      <c r="K106" s="74"/>
      <c r="L106" s="74"/>
      <c r="M106" s="146"/>
      <c r="N106" s="70"/>
      <c r="O106" s="70"/>
      <c r="P106" s="146"/>
      <c r="Q106" s="146"/>
      <c r="R106" s="146"/>
      <c r="S106" s="146"/>
      <c r="T106" s="146"/>
      <c r="U106" s="146"/>
      <c r="V106" s="70"/>
      <c r="W106" s="49"/>
      <c r="X106" s="49"/>
      <c r="Y106" s="49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</row>
    <row r="107" spans="1:37" ht="15.75">
      <c r="A107" s="76"/>
      <c r="B107" s="146"/>
      <c r="C107" s="150"/>
      <c r="D107" s="150"/>
      <c r="E107" s="146"/>
      <c r="F107" s="74"/>
      <c r="G107" s="146"/>
      <c r="H107" s="148"/>
      <c r="I107" s="150"/>
      <c r="J107" s="146"/>
      <c r="K107" s="74"/>
      <c r="L107" s="74"/>
      <c r="M107" s="146"/>
      <c r="N107" s="70"/>
      <c r="O107" s="70"/>
      <c r="P107" s="146"/>
      <c r="Q107" s="146"/>
      <c r="R107" s="146"/>
      <c r="S107" s="146"/>
      <c r="T107" s="146"/>
      <c r="U107" s="146"/>
      <c r="V107" s="70"/>
      <c r="W107" s="49"/>
      <c r="X107" s="49"/>
      <c r="Y107" s="49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</row>
    <row r="108" spans="1:37">
      <c r="A108" s="146"/>
      <c r="B108" s="146"/>
      <c r="C108" s="150"/>
      <c r="D108" s="150"/>
      <c r="E108" s="146"/>
      <c r="F108" s="74"/>
      <c r="G108" s="146"/>
      <c r="H108" s="148"/>
      <c r="I108" s="150"/>
      <c r="J108" s="146"/>
      <c r="K108" s="74"/>
      <c r="L108" s="74"/>
      <c r="M108" s="146"/>
      <c r="N108" s="70"/>
      <c r="O108" s="70"/>
      <c r="P108" s="146"/>
      <c r="Q108" s="146"/>
      <c r="R108" s="146"/>
      <c r="S108" s="146"/>
      <c r="T108" s="146"/>
      <c r="U108" s="146"/>
      <c r="V108" s="70"/>
      <c r="W108" s="49"/>
      <c r="X108" s="49"/>
      <c r="Y108" s="49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</row>
    <row r="109" spans="1:37">
      <c r="A109" s="146"/>
      <c r="B109" s="74"/>
      <c r="C109" s="74"/>
      <c r="D109" s="74"/>
      <c r="E109" s="74"/>
      <c r="F109" s="146"/>
      <c r="G109" s="74"/>
      <c r="H109" s="74"/>
      <c r="I109" s="74"/>
      <c r="J109" s="74"/>
      <c r="K109" s="74"/>
      <c r="L109" s="146"/>
      <c r="M109" s="146"/>
      <c r="N109" s="70"/>
      <c r="O109" s="70"/>
      <c r="P109" s="146"/>
      <c r="Q109" s="146"/>
      <c r="R109" s="146"/>
      <c r="S109" s="146"/>
      <c r="T109" s="146"/>
      <c r="U109" s="146"/>
      <c r="V109" s="70"/>
      <c r="W109" s="49"/>
      <c r="X109" s="49"/>
      <c r="Y109" s="49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</row>
    <row r="110" spans="1:37" ht="15.75">
      <c r="A110" s="146"/>
      <c r="B110" s="146"/>
      <c r="C110" s="146"/>
      <c r="D110" s="146"/>
      <c r="E110" s="146"/>
      <c r="F110" s="74"/>
      <c r="G110" s="77"/>
      <c r="H110" s="77"/>
      <c r="I110" s="78"/>
      <c r="J110" s="74"/>
      <c r="K110" s="146"/>
      <c r="L110" s="146"/>
      <c r="M110" s="146"/>
      <c r="N110" s="70"/>
      <c r="O110" s="70"/>
      <c r="P110" s="146"/>
      <c r="Q110" s="146"/>
      <c r="R110" s="146"/>
      <c r="S110" s="146"/>
      <c r="T110" s="146"/>
      <c r="U110" s="146"/>
      <c r="V110" s="70"/>
      <c r="W110" s="49"/>
      <c r="X110" s="49"/>
      <c r="Y110" s="49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</row>
    <row r="111" spans="1:37" ht="15.75">
      <c r="A111" s="146"/>
      <c r="B111" s="146"/>
      <c r="C111" s="149"/>
      <c r="D111" s="149"/>
      <c r="E111" s="149"/>
      <c r="F111" s="74"/>
      <c r="G111" s="77"/>
      <c r="H111" s="70"/>
      <c r="I111" s="146"/>
      <c r="J111" s="74"/>
      <c r="K111" s="146"/>
      <c r="L111" s="146"/>
      <c r="M111" s="146"/>
      <c r="N111" s="70"/>
      <c r="O111" s="70"/>
      <c r="P111" s="146"/>
      <c r="Q111" s="146"/>
      <c r="R111" s="146"/>
      <c r="S111" s="146"/>
      <c r="T111" s="146"/>
      <c r="U111" s="146"/>
      <c r="V111" s="70"/>
      <c r="W111" s="49"/>
      <c r="X111" s="49"/>
      <c r="Y111" s="49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</row>
    <row r="112" spans="1:37">
      <c r="A112" s="146"/>
      <c r="B112" s="146"/>
      <c r="C112" s="74"/>
      <c r="D112" s="74"/>
      <c r="E112" s="146"/>
      <c r="F112" s="74"/>
      <c r="G112" s="74"/>
      <c r="H112" s="70"/>
      <c r="I112" s="79"/>
      <c r="J112" s="74"/>
      <c r="K112" s="146"/>
      <c r="L112" s="146"/>
      <c r="M112" s="146"/>
      <c r="N112" s="70"/>
      <c r="O112" s="70"/>
      <c r="P112" s="146"/>
      <c r="Q112" s="146"/>
      <c r="R112" s="146"/>
      <c r="S112" s="146"/>
      <c r="T112" s="146"/>
      <c r="U112" s="146"/>
      <c r="V112" s="70"/>
      <c r="W112" s="49"/>
      <c r="X112" s="49"/>
      <c r="Y112" s="49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</row>
    <row r="113" spans="1:37">
      <c r="A113" s="146"/>
      <c r="B113" s="146"/>
      <c r="C113" s="146"/>
      <c r="D113" s="146"/>
      <c r="E113" s="146"/>
      <c r="F113" s="74"/>
      <c r="G113" s="74"/>
      <c r="H113" s="70"/>
      <c r="I113" s="79"/>
      <c r="J113" s="74"/>
      <c r="K113" s="146"/>
      <c r="L113" s="146"/>
      <c r="M113" s="146"/>
      <c r="N113" s="70"/>
      <c r="O113" s="70"/>
      <c r="P113" s="146"/>
      <c r="Q113" s="146"/>
      <c r="R113" s="146"/>
      <c r="S113" s="146"/>
      <c r="T113" s="146"/>
      <c r="U113" s="146"/>
      <c r="V113" s="70"/>
      <c r="W113" s="49"/>
      <c r="X113" s="49"/>
      <c r="Y113" s="49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</row>
    <row r="114" spans="1:37" ht="15.75">
      <c r="A114" s="146"/>
      <c r="B114" s="146"/>
      <c r="C114" s="146"/>
      <c r="D114" s="146"/>
      <c r="E114" s="146"/>
      <c r="F114" s="74"/>
      <c r="G114" s="74"/>
      <c r="H114" s="78"/>
      <c r="I114" s="146"/>
      <c r="J114" s="74"/>
      <c r="K114" s="146"/>
      <c r="L114" s="146"/>
      <c r="M114" s="146"/>
      <c r="N114" s="70"/>
      <c r="O114" s="70"/>
      <c r="P114" s="146"/>
      <c r="Q114" s="146"/>
      <c r="R114" s="146"/>
      <c r="S114" s="146"/>
      <c r="T114" s="146"/>
      <c r="U114" s="146"/>
      <c r="V114" s="70"/>
      <c r="W114" s="49"/>
      <c r="X114" s="49"/>
      <c r="Y114" s="49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</row>
    <row r="115" spans="1:37" ht="15.75">
      <c r="A115" s="146"/>
      <c r="B115" s="146"/>
      <c r="C115" s="146"/>
      <c r="D115" s="146"/>
      <c r="E115" s="146"/>
      <c r="F115" s="74"/>
      <c r="G115" s="74"/>
      <c r="H115" s="77"/>
      <c r="I115" s="78"/>
      <c r="J115" s="74"/>
      <c r="K115" s="146"/>
      <c r="L115" s="146"/>
      <c r="M115" s="146"/>
      <c r="N115" s="70"/>
      <c r="O115" s="70"/>
      <c r="P115" s="146"/>
      <c r="Q115" s="146"/>
      <c r="R115" s="146"/>
      <c r="S115" s="146"/>
      <c r="T115" s="146"/>
      <c r="U115" s="146"/>
      <c r="V115" s="70"/>
      <c r="W115" s="49"/>
      <c r="X115" s="49"/>
      <c r="Y115" s="49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</row>
    <row r="116" spans="1:37">
      <c r="A116" s="146"/>
      <c r="B116" s="146"/>
      <c r="C116" s="146"/>
      <c r="D116" s="146"/>
      <c r="E116" s="146"/>
      <c r="F116" s="74"/>
      <c r="G116" s="74"/>
      <c r="H116" s="79"/>
      <c r="I116" s="70"/>
      <c r="J116" s="74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70"/>
      <c r="W116" s="49"/>
      <c r="X116" s="49"/>
      <c r="Y116" s="49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</row>
    <row r="117" spans="1:37" ht="15.75">
      <c r="A117" s="146"/>
      <c r="B117" s="74"/>
      <c r="C117" s="74"/>
      <c r="D117" s="74"/>
      <c r="E117" s="74"/>
      <c r="F117" s="146"/>
      <c r="G117" s="74"/>
      <c r="H117" s="79"/>
      <c r="I117" s="70"/>
      <c r="J117" s="74"/>
      <c r="K117" s="146"/>
      <c r="L117" s="146"/>
      <c r="M117" s="146"/>
      <c r="N117" s="146"/>
      <c r="O117" s="80"/>
      <c r="P117" s="146"/>
      <c r="Q117" s="146"/>
      <c r="R117" s="146"/>
      <c r="S117" s="146"/>
      <c r="T117" s="146"/>
      <c r="U117" s="146"/>
      <c r="V117" s="70"/>
      <c r="W117" s="49"/>
      <c r="X117" s="49"/>
      <c r="Y117" s="49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</row>
    <row r="118" spans="1:37" ht="15.75">
      <c r="A118" s="81"/>
      <c r="B118" s="146"/>
      <c r="C118" s="146"/>
      <c r="D118" s="146"/>
      <c r="E118" s="146"/>
      <c r="F118" s="146"/>
      <c r="G118" s="74"/>
      <c r="H118" s="79"/>
      <c r="I118" s="70"/>
      <c r="J118" s="74"/>
      <c r="K118" s="146"/>
      <c r="L118" s="146"/>
      <c r="M118" s="78"/>
      <c r="N118" s="146"/>
      <c r="O118" s="70"/>
      <c r="P118" s="146"/>
      <c r="Q118" s="146"/>
      <c r="R118" s="146"/>
      <c r="S118" s="146"/>
      <c r="T118" s="146"/>
      <c r="U118" s="146"/>
      <c r="V118" s="70"/>
      <c r="W118" s="49"/>
      <c r="X118" s="49"/>
      <c r="Y118" s="49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</row>
    <row r="119" spans="1:37" ht="15.75">
      <c r="A119" s="71"/>
      <c r="B119" s="146"/>
      <c r="C119" s="146"/>
      <c r="D119" s="146"/>
      <c r="E119" s="146"/>
      <c r="F119" s="146"/>
      <c r="G119" s="74"/>
      <c r="H119" s="146"/>
      <c r="I119" s="78"/>
      <c r="J119" s="74"/>
      <c r="K119" s="146"/>
      <c r="L119" s="146"/>
      <c r="M119" s="77"/>
      <c r="N119" s="146"/>
      <c r="O119" s="70"/>
      <c r="P119" s="146"/>
      <c r="Q119" s="146"/>
      <c r="R119" s="146"/>
      <c r="S119" s="146"/>
      <c r="T119" s="146"/>
      <c r="U119" s="146"/>
      <c r="V119" s="146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</row>
    <row r="120" spans="1:37" ht="15.75">
      <c r="A120" s="81"/>
      <c r="B120" s="149"/>
      <c r="C120" s="149"/>
      <c r="D120" s="74"/>
      <c r="E120" s="146"/>
      <c r="F120" s="146"/>
      <c r="G120" s="74"/>
      <c r="H120" s="74"/>
      <c r="I120" s="74"/>
      <c r="J120" s="146"/>
      <c r="K120" s="146"/>
      <c r="L120" s="146"/>
      <c r="M120" s="78"/>
      <c r="N120" s="70"/>
      <c r="O120" s="70"/>
      <c r="P120" s="146"/>
      <c r="Q120" s="146"/>
      <c r="R120" s="146"/>
      <c r="S120" s="146"/>
      <c r="T120" s="146"/>
      <c r="U120" s="146"/>
      <c r="V120" s="146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</row>
    <row r="121" spans="1:37" ht="15.75">
      <c r="A121" s="76"/>
      <c r="B121" s="146"/>
      <c r="C121" s="146"/>
      <c r="D121" s="74"/>
      <c r="E121" s="146"/>
      <c r="F121" s="146"/>
      <c r="G121" s="77"/>
      <c r="H121" s="77"/>
      <c r="I121" s="78"/>
      <c r="J121" s="74"/>
      <c r="K121" s="146"/>
      <c r="L121" s="146"/>
      <c r="M121" s="77"/>
      <c r="N121" s="146"/>
      <c r="O121" s="70"/>
      <c r="P121" s="146"/>
      <c r="Q121" s="146"/>
      <c r="R121" s="146"/>
      <c r="S121" s="146"/>
      <c r="T121" s="146"/>
      <c r="U121" s="146"/>
      <c r="V121" s="146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</row>
    <row r="122" spans="1:37" ht="15.75">
      <c r="A122" s="81"/>
      <c r="B122" s="146"/>
      <c r="C122" s="146"/>
      <c r="D122" s="74"/>
      <c r="E122" s="146"/>
      <c r="F122" s="146"/>
      <c r="G122" s="77"/>
      <c r="H122" s="70"/>
      <c r="I122" s="146"/>
      <c r="J122" s="74"/>
      <c r="K122" s="146"/>
      <c r="L122" s="146"/>
      <c r="M122" s="78"/>
      <c r="N122" s="70"/>
      <c r="O122" s="70"/>
      <c r="P122" s="146"/>
      <c r="Q122" s="146"/>
      <c r="R122" s="146"/>
      <c r="S122" s="146"/>
      <c r="T122" s="146"/>
      <c r="U122" s="146"/>
      <c r="V122" s="146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</row>
    <row r="123" spans="1:37">
      <c r="A123" s="146"/>
      <c r="B123" s="146"/>
      <c r="C123" s="146"/>
      <c r="D123" s="74"/>
      <c r="E123" s="146"/>
      <c r="F123" s="146"/>
      <c r="G123" s="74"/>
      <c r="H123" s="70"/>
      <c r="I123" s="79"/>
      <c r="J123" s="74"/>
      <c r="K123" s="146"/>
      <c r="L123" s="146"/>
      <c r="M123" s="146"/>
      <c r="N123" s="146"/>
      <c r="O123" s="70"/>
      <c r="P123" s="146"/>
      <c r="Q123" s="146"/>
      <c r="R123" s="146"/>
      <c r="S123" s="146"/>
      <c r="T123" s="146"/>
      <c r="U123" s="146"/>
      <c r="V123" s="146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</row>
    <row r="124" spans="1:37" ht="15.75">
      <c r="A124" s="146"/>
      <c r="B124" s="146"/>
      <c r="C124" s="146"/>
      <c r="D124" s="74"/>
      <c r="E124" s="146"/>
      <c r="F124" s="146"/>
      <c r="G124" s="74"/>
      <c r="H124" s="70"/>
      <c r="I124" s="79"/>
      <c r="J124" s="74"/>
      <c r="K124" s="146"/>
      <c r="L124" s="146"/>
      <c r="M124" s="77"/>
      <c r="N124" s="146"/>
      <c r="O124" s="70"/>
      <c r="P124" s="146"/>
      <c r="Q124" s="146"/>
      <c r="R124" s="146"/>
      <c r="S124" s="146"/>
      <c r="T124" s="146"/>
      <c r="U124" s="146"/>
      <c r="V124" s="146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</row>
    <row r="125" spans="1:37" ht="15.75">
      <c r="A125" s="146"/>
      <c r="B125" s="74"/>
      <c r="C125" s="74"/>
      <c r="D125" s="146"/>
      <c r="E125" s="146"/>
      <c r="F125" s="146"/>
      <c r="G125" s="74"/>
      <c r="H125" s="78"/>
      <c r="I125" s="146"/>
      <c r="J125" s="74"/>
      <c r="K125" s="146"/>
      <c r="L125" s="146"/>
      <c r="M125" s="77"/>
      <c r="N125" s="146"/>
      <c r="O125" s="70"/>
      <c r="P125" s="146"/>
      <c r="Q125" s="146"/>
      <c r="R125" s="146"/>
      <c r="S125" s="146"/>
      <c r="T125" s="146"/>
      <c r="U125" s="146"/>
      <c r="V125" s="146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</row>
    <row r="126" spans="1:37" ht="15.75">
      <c r="A126" s="146"/>
      <c r="B126" s="146"/>
      <c r="C126" s="146"/>
      <c r="D126" s="146"/>
      <c r="E126" s="146"/>
      <c r="F126" s="146"/>
      <c r="G126" s="74"/>
      <c r="H126" s="70"/>
      <c r="I126" s="146"/>
      <c r="J126" s="74"/>
      <c r="K126" s="146"/>
      <c r="L126" s="146"/>
      <c r="M126" s="78"/>
      <c r="N126" s="70"/>
      <c r="O126" s="70"/>
      <c r="P126" s="146"/>
      <c r="Q126" s="146"/>
      <c r="R126" s="146"/>
      <c r="S126" s="146"/>
      <c r="T126" s="146"/>
      <c r="U126" s="146"/>
      <c r="V126" s="146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</row>
    <row r="127" spans="1:37" ht="15.75">
      <c r="A127" s="146"/>
      <c r="B127" s="146"/>
      <c r="C127" s="146"/>
      <c r="D127" s="146"/>
      <c r="E127" s="146"/>
      <c r="F127" s="146"/>
      <c r="G127" s="74"/>
      <c r="H127" s="77"/>
      <c r="I127" s="78"/>
      <c r="J127" s="74"/>
      <c r="K127" s="146"/>
      <c r="L127" s="146"/>
      <c r="M127" s="77"/>
      <c r="N127" s="70"/>
      <c r="O127" s="70"/>
      <c r="P127" s="146"/>
      <c r="Q127" s="146"/>
      <c r="R127" s="146"/>
      <c r="S127" s="146"/>
      <c r="T127" s="146"/>
      <c r="U127" s="146"/>
      <c r="V127" s="146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1:37" ht="15.75">
      <c r="A128" s="146"/>
      <c r="B128" s="146"/>
      <c r="C128" s="146"/>
      <c r="D128" s="146"/>
      <c r="E128" s="146"/>
      <c r="F128" s="146"/>
      <c r="G128" s="74"/>
      <c r="H128" s="79"/>
      <c r="I128" s="70"/>
      <c r="J128" s="74"/>
      <c r="K128" s="146"/>
      <c r="L128" s="146"/>
      <c r="M128" s="78"/>
      <c r="N128" s="78"/>
      <c r="O128" s="78"/>
      <c r="P128" s="146"/>
      <c r="Q128" s="146"/>
      <c r="R128" s="146"/>
      <c r="S128" s="146"/>
      <c r="T128" s="146"/>
      <c r="U128" s="146"/>
      <c r="V128" s="146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</row>
    <row r="129" spans="1:37">
      <c r="A129" s="146"/>
      <c r="B129" s="146"/>
      <c r="C129" s="146"/>
      <c r="D129" s="146"/>
      <c r="E129" s="146"/>
      <c r="F129" s="146"/>
      <c r="G129" s="74"/>
      <c r="H129" s="79"/>
      <c r="I129" s="70"/>
      <c r="J129" s="74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</row>
    <row r="130" spans="1:37">
      <c r="A130" s="146"/>
      <c r="B130" s="146"/>
      <c r="C130" s="146"/>
      <c r="D130" s="146"/>
      <c r="E130" s="146"/>
      <c r="F130" s="146"/>
      <c r="G130" s="74"/>
      <c r="H130" s="79"/>
      <c r="I130" s="70"/>
      <c r="J130" s="74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</row>
    <row r="131" spans="1:37" ht="15.75">
      <c r="A131" s="146"/>
      <c r="B131" s="146"/>
      <c r="C131" s="146"/>
      <c r="D131" s="146"/>
      <c r="E131" s="146"/>
      <c r="F131" s="146"/>
      <c r="G131" s="74"/>
      <c r="H131" s="77"/>
      <c r="I131" s="78"/>
      <c r="J131" s="74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</row>
    <row r="132" spans="1:37">
      <c r="A132" s="146"/>
      <c r="B132" s="146"/>
      <c r="C132" s="146"/>
      <c r="D132" s="146"/>
      <c r="E132" s="146"/>
      <c r="F132" s="146"/>
      <c r="G132" s="74"/>
      <c r="H132" s="70"/>
      <c r="I132" s="74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</row>
    <row r="133" spans="1:37">
      <c r="A133" s="146"/>
      <c r="B133" s="146"/>
      <c r="C133" s="146"/>
      <c r="D133" s="146"/>
      <c r="E133" s="146"/>
      <c r="F133" s="146"/>
      <c r="G133" s="146"/>
      <c r="H133" s="70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</row>
    <row r="134" spans="1:37">
      <c r="A134" s="146"/>
      <c r="B134" s="146"/>
      <c r="C134" s="146"/>
      <c r="D134" s="146"/>
      <c r="E134" s="146"/>
      <c r="F134" s="146"/>
      <c r="G134" s="146"/>
      <c r="H134" s="70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</row>
    <row r="135" spans="1:37" ht="23.25">
      <c r="A135" s="75"/>
      <c r="B135" s="146"/>
      <c r="C135" s="146"/>
      <c r="D135" s="146"/>
      <c r="E135" s="146"/>
      <c r="F135" s="146"/>
      <c r="G135" s="146"/>
      <c r="H135" s="146"/>
      <c r="I135" s="146"/>
      <c r="J135" s="146"/>
      <c r="K135" s="74"/>
      <c r="L135" s="74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</row>
    <row r="136" spans="1:37">
      <c r="A136" s="146"/>
      <c r="B136" s="146"/>
      <c r="C136" s="146"/>
      <c r="D136" s="146"/>
      <c r="E136" s="146"/>
      <c r="F136" s="146"/>
      <c r="G136" s="149"/>
      <c r="H136" s="149"/>
      <c r="I136" s="149"/>
      <c r="J136" s="149"/>
      <c r="K136" s="74"/>
      <c r="L136" s="74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</row>
    <row r="137" spans="1:37">
      <c r="A137" s="146"/>
      <c r="B137" s="146"/>
      <c r="C137" s="146"/>
      <c r="D137" s="146"/>
      <c r="E137" s="146"/>
      <c r="F137" s="146"/>
      <c r="G137" s="146"/>
      <c r="H137" s="148"/>
      <c r="I137" s="150"/>
      <c r="J137" s="146"/>
      <c r="K137" s="74"/>
      <c r="L137" s="74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</row>
    <row r="138" spans="1:37">
      <c r="A138" s="146"/>
      <c r="B138" s="146"/>
      <c r="C138" s="146"/>
      <c r="D138" s="146"/>
      <c r="E138" s="146"/>
      <c r="F138" s="146"/>
      <c r="G138" s="146"/>
      <c r="H138" s="148"/>
      <c r="I138" s="150"/>
      <c r="J138" s="146"/>
      <c r="K138" s="74"/>
      <c r="L138" s="74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</row>
    <row r="139" spans="1:37">
      <c r="A139" s="146"/>
      <c r="B139" s="146"/>
      <c r="C139" s="146"/>
      <c r="D139" s="146"/>
      <c r="E139" s="146"/>
      <c r="F139" s="146"/>
      <c r="G139" s="146"/>
      <c r="H139" s="148"/>
      <c r="I139" s="150"/>
      <c r="J139" s="146"/>
      <c r="K139" s="74"/>
      <c r="L139" s="74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</row>
    <row r="140" spans="1:37">
      <c r="A140" s="146"/>
      <c r="B140" s="146"/>
      <c r="C140" s="146"/>
      <c r="D140" s="146"/>
      <c r="E140" s="146"/>
      <c r="F140" s="146"/>
      <c r="G140" s="146"/>
      <c r="H140" s="148"/>
      <c r="I140" s="150"/>
      <c r="J140" s="146"/>
      <c r="K140" s="74"/>
      <c r="L140" s="74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</row>
    <row r="141" spans="1:37">
      <c r="A141" s="146"/>
      <c r="B141" s="146"/>
      <c r="C141" s="146"/>
      <c r="D141" s="146"/>
      <c r="E141" s="146"/>
      <c r="F141" s="146"/>
      <c r="G141" s="74"/>
      <c r="H141" s="70"/>
      <c r="I141" s="74"/>
      <c r="J141" s="74"/>
      <c r="K141" s="74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</row>
    <row r="142" spans="1:37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74"/>
      <c r="L142" s="74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</row>
    <row r="143" spans="1:37">
      <c r="A143" s="146"/>
      <c r="B143" s="146"/>
      <c r="C143" s="146"/>
      <c r="D143" s="146"/>
      <c r="E143" s="146"/>
      <c r="F143" s="146"/>
      <c r="G143" s="149"/>
      <c r="H143" s="149"/>
      <c r="I143" s="149"/>
      <c r="J143" s="149"/>
      <c r="K143" s="74"/>
      <c r="L143" s="74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</row>
    <row r="144" spans="1:37">
      <c r="A144" s="146"/>
      <c r="B144" s="146"/>
      <c r="C144" s="146"/>
      <c r="D144" s="146"/>
      <c r="E144" s="146"/>
      <c r="F144" s="146"/>
      <c r="G144" s="146"/>
      <c r="H144" s="148"/>
      <c r="I144" s="150"/>
      <c r="J144" s="146"/>
      <c r="K144" s="74"/>
      <c r="L144" s="74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</row>
    <row r="145" spans="1:37">
      <c r="A145" s="146"/>
      <c r="B145" s="146"/>
      <c r="C145" s="146"/>
      <c r="D145" s="146"/>
      <c r="E145" s="146"/>
      <c r="F145" s="146"/>
      <c r="G145" s="146"/>
      <c r="H145" s="148"/>
      <c r="I145" s="150"/>
      <c r="J145" s="146"/>
      <c r="K145" s="74"/>
      <c r="L145" s="74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</row>
    <row r="146" spans="1:37">
      <c r="A146" s="146"/>
      <c r="B146" s="146"/>
      <c r="C146" s="146"/>
      <c r="D146" s="146"/>
      <c r="E146" s="146"/>
      <c r="F146" s="146"/>
      <c r="G146" s="146"/>
      <c r="H146" s="148"/>
      <c r="I146" s="150"/>
      <c r="J146" s="146"/>
      <c r="K146" s="74"/>
      <c r="L146" s="74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</row>
    <row r="147" spans="1:37">
      <c r="A147" s="146"/>
      <c r="B147" s="146"/>
      <c r="C147" s="146"/>
      <c r="D147" s="146"/>
      <c r="E147" s="146"/>
      <c r="F147" s="146"/>
      <c r="G147" s="146"/>
      <c r="H147" s="148"/>
      <c r="I147" s="150"/>
      <c r="J147" s="146"/>
      <c r="K147" s="74"/>
      <c r="L147" s="74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</row>
    <row r="148" spans="1:37">
      <c r="A148" s="146"/>
      <c r="B148" s="146"/>
      <c r="C148" s="146"/>
      <c r="D148" s="146"/>
      <c r="E148" s="146"/>
      <c r="F148" s="146"/>
      <c r="G148" s="74"/>
      <c r="H148" s="74"/>
      <c r="I148" s="74"/>
      <c r="J148" s="74"/>
      <c r="K148" s="74"/>
      <c r="L148" s="146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</row>
    <row r="149" spans="1:37" ht="15.7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74"/>
      <c r="L149" s="74"/>
      <c r="M149" s="50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</row>
    <row r="150" spans="1:37" ht="15.75">
      <c r="A150" s="146"/>
      <c r="B150" s="146"/>
      <c r="C150" s="146"/>
      <c r="D150" s="146"/>
      <c r="E150" s="146"/>
      <c r="F150" s="146"/>
      <c r="G150" s="149"/>
      <c r="H150" s="149"/>
      <c r="I150" s="149"/>
      <c r="J150" s="149"/>
      <c r="K150" s="74"/>
      <c r="L150" s="74"/>
      <c r="M150" s="50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</row>
    <row r="151" spans="1:37" ht="15.75">
      <c r="A151" s="146"/>
      <c r="B151" s="146"/>
      <c r="C151" s="146"/>
      <c r="D151" s="146"/>
      <c r="E151" s="146"/>
      <c r="F151" s="146"/>
      <c r="G151" s="146"/>
      <c r="H151" s="148"/>
      <c r="I151" s="150"/>
      <c r="J151" s="146"/>
      <c r="K151" s="74"/>
      <c r="L151" s="74"/>
      <c r="M151" s="50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</row>
    <row r="152" spans="1:37" ht="15.75">
      <c r="A152" s="146"/>
      <c r="B152" s="146"/>
      <c r="C152" s="146"/>
      <c r="D152" s="146"/>
      <c r="E152" s="146"/>
      <c r="F152" s="146"/>
      <c r="G152" s="146"/>
      <c r="H152" s="148"/>
      <c r="I152" s="150"/>
      <c r="J152" s="146"/>
      <c r="K152" s="74"/>
      <c r="L152" s="74"/>
      <c r="M152" s="50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</row>
    <row r="153" spans="1:37">
      <c r="A153" s="146"/>
      <c r="B153" s="146"/>
      <c r="C153" s="146"/>
      <c r="D153" s="146"/>
      <c r="E153" s="146"/>
      <c r="F153" s="146"/>
      <c r="G153" s="146"/>
      <c r="H153" s="148"/>
      <c r="I153" s="150"/>
      <c r="J153" s="146"/>
      <c r="K153" s="74"/>
      <c r="L153" s="74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</row>
    <row r="154" spans="1:37">
      <c r="A154" s="146"/>
      <c r="B154" s="146"/>
      <c r="C154" s="146"/>
      <c r="D154" s="146"/>
      <c r="E154" s="146"/>
      <c r="F154" s="146"/>
      <c r="G154" s="146"/>
      <c r="H154" s="148"/>
      <c r="I154" s="150"/>
      <c r="J154" s="146"/>
      <c r="K154" s="74"/>
      <c r="L154" s="74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</row>
    <row r="155" spans="1:37">
      <c r="A155" s="146"/>
      <c r="B155" s="146"/>
      <c r="C155" s="146"/>
      <c r="D155" s="146"/>
      <c r="E155" s="146"/>
      <c r="F155" s="146"/>
      <c r="G155" s="74"/>
      <c r="H155" s="70"/>
      <c r="I155" s="74"/>
      <c r="J155" s="74"/>
      <c r="K155" s="74"/>
      <c r="L155" s="146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</row>
    <row r="156" spans="1:37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74"/>
      <c r="L156" s="74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</row>
    <row r="157" spans="1:37">
      <c r="A157" s="146"/>
      <c r="B157" s="146"/>
      <c r="C157" s="146"/>
      <c r="D157" s="146"/>
      <c r="E157" s="146"/>
      <c r="F157" s="146"/>
      <c r="G157" s="149"/>
      <c r="H157" s="149"/>
      <c r="I157" s="149"/>
      <c r="J157" s="149"/>
      <c r="K157" s="74"/>
      <c r="L157" s="74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</row>
    <row r="158" spans="1:37">
      <c r="A158" s="146"/>
      <c r="B158" s="146"/>
      <c r="C158" s="146"/>
      <c r="D158" s="146"/>
      <c r="E158" s="146"/>
      <c r="F158" s="146"/>
      <c r="G158" s="146"/>
      <c r="H158" s="148"/>
      <c r="I158" s="150"/>
      <c r="J158" s="146"/>
      <c r="K158" s="74"/>
      <c r="L158" s="74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</row>
    <row r="159" spans="1:37">
      <c r="A159" s="146"/>
      <c r="B159" s="146"/>
      <c r="C159" s="146"/>
      <c r="D159" s="146"/>
      <c r="E159" s="146"/>
      <c r="F159" s="146"/>
      <c r="G159" s="146"/>
      <c r="H159" s="148"/>
      <c r="I159" s="150"/>
      <c r="J159" s="146"/>
      <c r="K159" s="74"/>
      <c r="L159" s="74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</row>
    <row r="160" spans="1:37">
      <c r="A160" s="146"/>
      <c r="B160" s="146"/>
      <c r="C160" s="146"/>
      <c r="D160" s="146"/>
      <c r="E160" s="146"/>
      <c r="F160" s="146"/>
      <c r="G160" s="146"/>
      <c r="H160" s="148"/>
      <c r="I160" s="150"/>
      <c r="J160" s="146"/>
      <c r="K160" s="74"/>
      <c r="L160" s="74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</row>
    <row r="161" spans="1:37">
      <c r="A161" s="146"/>
      <c r="B161" s="146"/>
      <c r="C161" s="146"/>
      <c r="D161" s="146"/>
      <c r="E161" s="146"/>
      <c r="F161" s="146"/>
      <c r="G161" s="146"/>
      <c r="H161" s="148"/>
      <c r="I161" s="150"/>
      <c r="J161" s="146"/>
      <c r="K161" s="74"/>
      <c r="L161" s="74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</row>
    <row r="162" spans="1:37">
      <c r="A162" s="146"/>
      <c r="B162" s="146"/>
      <c r="C162" s="146"/>
      <c r="D162" s="146"/>
      <c r="E162" s="146"/>
      <c r="F162" s="146"/>
      <c r="G162" s="74"/>
      <c r="H162" s="74"/>
      <c r="I162" s="74"/>
      <c r="J162" s="74"/>
      <c r="K162" s="74"/>
      <c r="L162" s="146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</row>
    <row r="163" spans="1:37" ht="15.75">
      <c r="A163" s="146"/>
      <c r="B163" s="146"/>
      <c r="C163" s="78"/>
      <c r="D163" s="77"/>
      <c r="E163" s="146"/>
      <c r="F163" s="146"/>
      <c r="G163" s="82"/>
      <c r="H163" s="146"/>
      <c r="I163" s="146"/>
      <c r="J163" s="146"/>
      <c r="K163" s="146"/>
      <c r="L163" s="146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</row>
    <row r="164" spans="1:37" ht="15.75">
      <c r="A164" s="146"/>
      <c r="B164" s="146"/>
      <c r="C164" s="77"/>
      <c r="D164" s="77"/>
      <c r="E164" s="146"/>
      <c r="F164" s="146"/>
      <c r="G164" s="82"/>
      <c r="H164" s="146"/>
      <c r="I164" s="146"/>
      <c r="J164" s="146"/>
      <c r="K164" s="146"/>
      <c r="L164" s="146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</row>
    <row r="165" spans="1:37" ht="15.75">
      <c r="A165" s="146"/>
      <c r="B165" s="149"/>
      <c r="C165" s="83"/>
      <c r="D165" s="77"/>
      <c r="E165" s="146"/>
      <c r="F165" s="146"/>
      <c r="G165" s="146"/>
      <c r="H165" s="148"/>
      <c r="I165" s="146"/>
      <c r="J165" s="146"/>
      <c r="K165" s="146"/>
      <c r="L165" s="146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</row>
    <row r="166" spans="1:37" ht="15.75">
      <c r="A166" s="146"/>
      <c r="B166" s="149"/>
      <c r="C166" s="83"/>
      <c r="D166" s="77"/>
      <c r="E166" s="146"/>
      <c r="F166" s="146"/>
      <c r="G166" s="146"/>
      <c r="H166" s="151"/>
      <c r="I166" s="146"/>
      <c r="J166" s="146"/>
      <c r="K166" s="146"/>
      <c r="L166" s="146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</row>
    <row r="167" spans="1:37" ht="15.75">
      <c r="A167" s="146"/>
      <c r="B167" s="146"/>
      <c r="C167" s="146"/>
      <c r="D167" s="77"/>
      <c r="E167" s="146"/>
      <c r="F167" s="146"/>
      <c r="G167" s="146"/>
      <c r="H167" s="146"/>
      <c r="I167" s="146"/>
      <c r="J167" s="146"/>
      <c r="K167" s="146"/>
      <c r="L167" s="146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</row>
    <row r="168" spans="1:37" ht="15.75">
      <c r="A168" s="146"/>
      <c r="B168" s="146"/>
      <c r="C168" s="83"/>
      <c r="D168" s="77"/>
      <c r="E168" s="146"/>
      <c r="F168" s="146"/>
      <c r="G168" s="146"/>
      <c r="H168" s="84"/>
      <c r="I168" s="146"/>
      <c r="J168" s="146"/>
      <c r="K168" s="146"/>
      <c r="L168" s="146"/>
    </row>
    <row r="169" spans="1:37" ht="15.75">
      <c r="A169" s="146"/>
      <c r="B169" s="146"/>
      <c r="C169" s="83"/>
      <c r="D169" s="77"/>
      <c r="E169" s="76"/>
      <c r="F169" s="146"/>
      <c r="G169" s="146"/>
      <c r="H169" s="152"/>
      <c r="I169" s="146"/>
      <c r="J169" s="146"/>
      <c r="K169" s="146"/>
      <c r="L169" s="146"/>
    </row>
    <row r="170" spans="1:37" ht="15.75">
      <c r="A170" s="146"/>
      <c r="B170" s="146"/>
      <c r="C170" s="85"/>
      <c r="D170" s="77"/>
      <c r="E170" s="146"/>
      <c r="F170" s="146"/>
      <c r="G170" s="146"/>
      <c r="H170" s="148"/>
      <c r="I170" s="146"/>
      <c r="J170" s="146"/>
      <c r="K170" s="146"/>
      <c r="L170" s="146"/>
    </row>
    <row r="171" spans="1:37" ht="15.75">
      <c r="A171" s="146"/>
      <c r="B171" s="146"/>
      <c r="C171" s="83"/>
      <c r="D171" s="77"/>
      <c r="E171" s="146"/>
      <c r="F171" s="146"/>
      <c r="G171" s="146"/>
      <c r="H171" s="148"/>
      <c r="I171" s="146"/>
      <c r="J171" s="146"/>
      <c r="K171" s="146"/>
      <c r="L171" s="146"/>
    </row>
    <row r="172" spans="1:37" ht="15.75">
      <c r="A172" s="146"/>
      <c r="B172" s="146"/>
      <c r="C172" s="83"/>
      <c r="D172" s="77"/>
      <c r="E172" s="146"/>
      <c r="F172" s="146"/>
      <c r="G172" s="146"/>
      <c r="H172" s="148"/>
      <c r="I172" s="146"/>
      <c r="J172" s="146"/>
      <c r="K172" s="146"/>
      <c r="L172" s="146"/>
    </row>
    <row r="173" spans="1:37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1:37" ht="15.75">
      <c r="A174" s="146"/>
      <c r="B174" s="7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1:37" ht="15.75">
      <c r="A175" s="76"/>
      <c r="B175" s="146"/>
      <c r="C175" s="146"/>
      <c r="D175" s="146"/>
      <c r="E175" s="146"/>
      <c r="F175" s="146"/>
      <c r="G175" s="82"/>
      <c r="H175" s="146"/>
      <c r="I175" s="146"/>
      <c r="J175" s="146"/>
      <c r="K175" s="146"/>
      <c r="L175" s="146"/>
    </row>
    <row r="176" spans="1:37" ht="15.75">
      <c r="A176" s="76"/>
      <c r="B176" s="146"/>
      <c r="C176" s="146"/>
      <c r="D176" s="146"/>
      <c r="E176" s="146"/>
      <c r="F176" s="146"/>
      <c r="G176" s="82"/>
      <c r="H176" s="146"/>
      <c r="I176" s="146"/>
      <c r="J176" s="146"/>
      <c r="K176" s="146"/>
      <c r="L176" s="146"/>
    </row>
    <row r="177" spans="1:12" ht="15.75">
      <c r="A177" s="76"/>
      <c r="B177" s="146"/>
      <c r="C177" s="146"/>
      <c r="D177" s="146"/>
      <c r="E177" s="146"/>
      <c r="F177" s="146"/>
      <c r="G177" s="82"/>
      <c r="H177" s="146"/>
      <c r="I177" s="146"/>
      <c r="J177" s="146"/>
      <c r="K177" s="146"/>
      <c r="L177" s="146"/>
    </row>
    <row r="178" spans="1:12" ht="15.75">
      <c r="A178" s="76"/>
      <c r="B178" s="146"/>
      <c r="C178" s="146"/>
      <c r="D178" s="146"/>
      <c r="E178" s="146"/>
      <c r="F178" s="146"/>
      <c r="G178" s="146"/>
      <c r="H178" s="148"/>
      <c r="I178" s="146"/>
      <c r="J178" s="146"/>
      <c r="K178" s="146"/>
      <c r="L178" s="146"/>
    </row>
    <row r="179" spans="1:12" ht="15.75">
      <c r="A179" s="76"/>
      <c r="B179" s="146"/>
      <c r="C179" s="146"/>
      <c r="D179" s="146"/>
      <c r="E179" s="146"/>
      <c r="F179" s="146"/>
      <c r="G179" s="146"/>
      <c r="H179" s="151"/>
      <c r="I179" s="146"/>
      <c r="J179" s="146"/>
      <c r="K179" s="146"/>
      <c r="L179" s="146"/>
    </row>
    <row r="180" spans="1:12" ht="15.75">
      <c r="A180" s="7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1:12">
      <c r="A181" s="146"/>
      <c r="B181" s="146"/>
      <c r="C181" s="146"/>
      <c r="D181" s="146"/>
      <c r="E181" s="146"/>
      <c r="F181" s="146"/>
      <c r="G181" s="146"/>
      <c r="H181" s="84"/>
      <c r="I181" s="146"/>
      <c r="J181" s="146"/>
      <c r="K181" s="146"/>
      <c r="L181" s="146"/>
    </row>
    <row r="182" spans="1:12">
      <c r="A182" s="146"/>
      <c r="B182" s="146"/>
      <c r="C182" s="146"/>
      <c r="D182" s="146"/>
      <c r="E182" s="146"/>
      <c r="F182" s="146"/>
      <c r="G182" s="146"/>
      <c r="H182" s="152"/>
      <c r="I182" s="146"/>
      <c r="J182" s="146"/>
      <c r="K182" s="146"/>
      <c r="L182" s="146"/>
    </row>
    <row r="183" spans="1:12">
      <c r="A183" s="146"/>
      <c r="B183" s="146"/>
      <c r="C183" s="146"/>
      <c r="D183" s="146"/>
      <c r="E183" s="146"/>
      <c r="F183" s="146"/>
      <c r="G183" s="146"/>
      <c r="H183" s="84"/>
      <c r="I183" s="146"/>
      <c r="J183" s="146"/>
      <c r="K183" s="146"/>
      <c r="L183" s="146"/>
    </row>
    <row r="184" spans="1:12">
      <c r="A184" s="146"/>
      <c r="B184" s="146"/>
      <c r="C184" s="146"/>
      <c r="D184" s="146"/>
      <c r="E184" s="146"/>
      <c r="F184" s="146"/>
      <c r="G184" s="146"/>
      <c r="H184" s="84"/>
      <c r="I184" s="146"/>
      <c r="J184" s="146"/>
      <c r="K184" s="146"/>
      <c r="L184" s="146"/>
    </row>
    <row r="185" spans="1:12">
      <c r="A185" s="146"/>
      <c r="B185" s="146"/>
      <c r="C185" s="146"/>
      <c r="D185" s="146"/>
      <c r="E185" s="146"/>
      <c r="F185" s="146"/>
      <c r="G185" s="146"/>
      <c r="H185" s="152"/>
      <c r="I185" s="146"/>
      <c r="J185" s="146"/>
      <c r="K185" s="146"/>
      <c r="L185" s="146"/>
    </row>
    <row r="186" spans="1:1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1:1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1:1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1:1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1:1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1:1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1:1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1:1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1:1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1:1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1:1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1:1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1:1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1:1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1:1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1:1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1:1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1:1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1:1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1:1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1:1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1:1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1:1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1:1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1:1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1:1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1:1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1:1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1:1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1:1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1:1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1:1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1:1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</sheetData>
  <phoneticPr fontId="0" type="noConversion"/>
  <printOptions horizontalCentered="1"/>
  <pageMargins left="0.2" right="0.2" top="0.25" bottom="0.25" header="0" footer="0"/>
  <pageSetup scale="51" orientation="landscape" r:id="rId1"/>
  <headerFooter alignWithMargins="0">
    <oddFooter>&amp;R&amp;8&amp;D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K59"/>
  <sheetViews>
    <sheetView showOutlineSymbols="0" view="pageBreakPreview" zoomScale="60" zoomScaleNormal="87" workbookViewId="0">
      <selection activeCell="B17" sqref="B17"/>
    </sheetView>
  </sheetViews>
  <sheetFormatPr defaultColWidth="9.6640625" defaultRowHeight="15"/>
  <cols>
    <col min="1" max="1" width="26" style="162" customWidth="1"/>
    <col min="2" max="2" width="18.109375" style="162" customWidth="1"/>
    <col min="3" max="3" width="17.5546875" style="162" customWidth="1"/>
    <col min="4" max="4" width="18.109375" style="162" customWidth="1"/>
    <col min="5" max="5" width="17.88671875" style="162" customWidth="1"/>
    <col min="6" max="6" width="17.5546875" style="162" customWidth="1"/>
    <col min="7" max="7" width="14.21875" style="162" customWidth="1"/>
    <col min="8" max="8" width="16.6640625" style="162" customWidth="1"/>
    <col min="9" max="9" width="15.21875" style="162" customWidth="1"/>
    <col min="10" max="10" width="15.109375" style="162" customWidth="1"/>
    <col min="11" max="11" width="16.5546875" style="162" customWidth="1"/>
    <col min="12" max="12" width="15.77734375" style="162" customWidth="1"/>
    <col min="13" max="16384" width="9.6640625" style="162"/>
  </cols>
  <sheetData>
    <row r="1" spans="1:11" ht="30.75">
      <c r="A1" s="160" t="s">
        <v>65</v>
      </c>
      <c r="B1" s="161"/>
      <c r="C1" s="161"/>
      <c r="D1" s="161"/>
      <c r="E1" s="185"/>
      <c r="F1" s="177"/>
      <c r="G1" s="164"/>
      <c r="H1" s="163"/>
      <c r="I1" s="163"/>
    </row>
    <row r="2" spans="1:11" s="168" customFormat="1" ht="24.95" customHeight="1">
      <c r="A2" s="165" t="s">
        <v>15</v>
      </c>
      <c r="B2" s="166"/>
      <c r="C2" s="166"/>
      <c r="D2" s="166"/>
      <c r="E2" s="166"/>
      <c r="F2" s="166"/>
      <c r="G2" s="167"/>
      <c r="H2" s="167"/>
      <c r="I2" s="167"/>
    </row>
    <row r="3" spans="1:11" s="168" customFormat="1" ht="24.95" customHeight="1">
      <c r="A3" s="165" t="s">
        <v>75</v>
      </c>
      <c r="B3" s="166"/>
      <c r="C3" s="166"/>
      <c r="D3" s="166"/>
      <c r="E3" s="166"/>
      <c r="F3" s="166"/>
      <c r="G3" s="167"/>
      <c r="H3" s="167"/>
      <c r="I3" s="167"/>
    </row>
    <row r="4" spans="1:11" s="168" customFormat="1" ht="7.5" customHeight="1">
      <c r="A4" s="165"/>
      <c r="B4" s="166"/>
      <c r="C4" s="166"/>
      <c r="D4" s="166"/>
      <c r="E4" s="166"/>
      <c r="F4" s="166"/>
      <c r="G4" s="167"/>
      <c r="H4" s="167"/>
      <c r="I4" s="167"/>
    </row>
    <row r="5" spans="1:11" s="187" customFormat="1" ht="22.5" customHeight="1">
      <c r="A5" s="189" t="s">
        <v>76</v>
      </c>
      <c r="B5" s="188"/>
      <c r="C5" s="188"/>
      <c r="D5" s="188"/>
      <c r="E5" s="188"/>
      <c r="F5" s="188"/>
      <c r="G5" s="186"/>
      <c r="H5" s="186"/>
      <c r="I5" s="186"/>
    </row>
    <row r="6" spans="1:11" ht="6" customHeight="1">
      <c r="G6" s="163"/>
      <c r="H6" s="163"/>
      <c r="I6" s="163"/>
    </row>
    <row r="7" spans="1:11" ht="18.75" customHeight="1">
      <c r="G7" s="163"/>
      <c r="H7" s="163"/>
      <c r="I7" s="163"/>
    </row>
    <row r="8" spans="1:11" ht="18.75" customHeight="1">
      <c r="A8" s="174"/>
      <c r="B8" s="174"/>
      <c r="C8" s="174"/>
      <c r="D8" s="174"/>
      <c r="E8" s="174"/>
      <c r="F8" s="174"/>
      <c r="G8" s="163"/>
      <c r="H8" s="163"/>
      <c r="I8" s="163"/>
    </row>
    <row r="9" spans="1:11" s="179" customFormat="1" ht="18">
      <c r="A9" s="194"/>
      <c r="B9" s="195"/>
      <c r="C9" s="195"/>
      <c r="D9" s="195"/>
      <c r="E9" s="207"/>
      <c r="F9" s="195" t="s">
        <v>83</v>
      </c>
      <c r="G9" s="178"/>
      <c r="H9" s="178"/>
    </row>
    <row r="10" spans="1:11" s="179" customFormat="1" ht="18">
      <c r="A10" s="196" t="s">
        <v>10</v>
      </c>
      <c r="B10" s="197" t="s">
        <v>80</v>
      </c>
      <c r="C10" s="197" t="s">
        <v>79</v>
      </c>
      <c r="D10" s="197" t="s">
        <v>78</v>
      </c>
      <c r="E10" s="197" t="s">
        <v>77</v>
      </c>
      <c r="F10" s="197" t="s">
        <v>101</v>
      </c>
      <c r="G10" s="180"/>
      <c r="H10" s="180"/>
      <c r="I10" s="190"/>
      <c r="J10" s="181"/>
      <c r="K10" s="208" t="s">
        <v>88</v>
      </c>
    </row>
    <row r="11" spans="1:11" ht="19.5" customHeight="1" thickBot="1">
      <c r="A11" s="174"/>
      <c r="B11" s="184"/>
      <c r="C11" s="184"/>
      <c r="D11" s="184"/>
      <c r="E11" s="184"/>
      <c r="F11" s="184"/>
      <c r="G11" s="202" t="s">
        <v>84</v>
      </c>
      <c r="H11" s="202" t="s">
        <v>85</v>
      </c>
      <c r="I11" s="202" t="s">
        <v>86</v>
      </c>
      <c r="J11" s="205" t="s">
        <v>87</v>
      </c>
      <c r="K11" s="205" t="s">
        <v>103</v>
      </c>
    </row>
    <row r="12" spans="1:11" s="156" customFormat="1">
      <c r="A12" s="157" t="s">
        <v>16</v>
      </c>
      <c r="B12" s="183">
        <v>24945029</v>
      </c>
      <c r="C12" s="183">
        <v>29972196</v>
      </c>
      <c r="D12" s="183">
        <v>30311961</v>
      </c>
      <c r="E12" s="183" t="e">
        <f>'Rev Summ'!#REF!</f>
        <v>#REF!</v>
      </c>
      <c r="F12" s="183" t="e">
        <f>'Rev Summ'!#REF!</f>
        <v>#REF!</v>
      </c>
      <c r="G12" s="203">
        <f>B12/B24</f>
        <v>0.29347316605707885</v>
      </c>
      <c r="H12" s="203">
        <f>C12/C24</f>
        <v>0.30154056016456932</v>
      </c>
      <c r="I12" s="203">
        <f>D12/D24</f>
        <v>0.29961924524735628</v>
      </c>
      <c r="J12" s="203" t="e">
        <f>E12/E24</f>
        <v>#REF!</v>
      </c>
      <c r="K12" s="203" t="e">
        <f>F12/F24</f>
        <v>#REF!</v>
      </c>
    </row>
    <row r="13" spans="1:11" s="156" customFormat="1">
      <c r="A13" s="157"/>
      <c r="B13" s="159"/>
      <c r="C13" s="159"/>
      <c r="D13" s="159"/>
      <c r="E13" s="159"/>
      <c r="F13" s="159"/>
      <c r="G13" s="203"/>
      <c r="H13" s="203"/>
      <c r="I13" s="203"/>
      <c r="J13" s="203"/>
    </row>
    <row r="14" spans="1:11" s="156" customFormat="1">
      <c r="A14" s="157" t="s">
        <v>7</v>
      </c>
      <c r="B14" s="159">
        <f>22148283-2599837+2759</f>
        <v>19551205</v>
      </c>
      <c r="C14" s="159">
        <f>22706877-2529203</f>
        <v>20177674</v>
      </c>
      <c r="D14" s="159">
        <v>21058661</v>
      </c>
      <c r="E14" s="159" t="e">
        <f>'Rev Summ'!#REF!</f>
        <v>#REF!</v>
      </c>
      <c r="F14" s="159" t="e">
        <f>'Rev Summ'!#REF!</f>
        <v>#REF!</v>
      </c>
      <c r="G14" s="203">
        <f>B14/B24</f>
        <v>0.23001592948963862</v>
      </c>
      <c r="H14" s="203">
        <f>C14/C24</f>
        <v>0.20300104539480746</v>
      </c>
      <c r="I14" s="203">
        <f>D14/D24</f>
        <v>0.20815479786147575</v>
      </c>
      <c r="J14" s="203" t="e">
        <f>E14/E24</f>
        <v>#REF!</v>
      </c>
      <c r="K14" s="203" t="e">
        <f>F14/F24</f>
        <v>#REF!</v>
      </c>
    </row>
    <row r="15" spans="1:11" s="156" customFormat="1">
      <c r="A15" s="157"/>
      <c r="B15" s="159"/>
      <c r="C15" s="159"/>
      <c r="D15" s="159"/>
      <c r="E15" s="159"/>
      <c r="F15" s="159"/>
      <c r="G15" s="203"/>
      <c r="H15" s="203"/>
      <c r="I15" s="203"/>
      <c r="J15" s="203"/>
      <c r="K15" s="203"/>
    </row>
    <row r="16" spans="1:11" s="156" customFormat="1">
      <c r="A16" s="157" t="s">
        <v>11</v>
      </c>
      <c r="B16" s="159">
        <v>5311652</v>
      </c>
      <c r="C16" s="159">
        <v>7852953</v>
      </c>
      <c r="D16" s="159">
        <v>8772325</v>
      </c>
      <c r="E16" s="159" t="e">
        <f>'Rev Summ'!#REF!</f>
        <v>#REF!</v>
      </c>
      <c r="F16" s="159" t="e">
        <f>'Rev Summ'!#REF!</f>
        <v>#REF!</v>
      </c>
      <c r="G16" s="203">
        <f>B16/B24</f>
        <v>6.2490499787890209E-2</v>
      </c>
      <c r="H16" s="203">
        <f>C16/C24</f>
        <v>7.9006017662704306E-2</v>
      </c>
      <c r="I16" s="203">
        <f>D16/D24</f>
        <v>8.6710239418839138E-2</v>
      </c>
      <c r="J16" s="203" t="e">
        <f>E16/E24</f>
        <v>#REF!</v>
      </c>
      <c r="K16" s="203" t="e">
        <f>F16/F24</f>
        <v>#REF!</v>
      </c>
    </row>
    <row r="17" spans="1:11" s="156" customFormat="1">
      <c r="A17" s="157"/>
      <c r="B17" s="159"/>
      <c r="C17" s="159"/>
      <c r="D17" s="159"/>
      <c r="E17" s="159"/>
      <c r="F17" s="159"/>
      <c r="G17" s="203"/>
      <c r="H17" s="203"/>
      <c r="I17" s="203"/>
      <c r="J17" s="203"/>
      <c r="K17" s="203"/>
    </row>
    <row r="18" spans="1:11" s="156" customFormat="1">
      <c r="A18" s="157" t="s">
        <v>1</v>
      </c>
      <c r="B18" s="159">
        <v>3082370</v>
      </c>
      <c r="C18" s="159">
        <v>3190267</v>
      </c>
      <c r="D18" s="159">
        <v>4271804</v>
      </c>
      <c r="E18" s="159" t="e">
        <f>'Rev Summ'!#REF!</f>
        <v>#REF!</v>
      </c>
      <c r="F18" s="159" t="e">
        <f>'Rev Summ'!#REF!</f>
        <v>#REF!</v>
      </c>
      <c r="G18" s="203">
        <f>B18/B24</f>
        <v>3.6263452845028091E-2</v>
      </c>
      <c r="H18" s="203">
        <f>C18/C24</f>
        <v>3.2096243406874163E-2</v>
      </c>
      <c r="I18" s="203">
        <f>D18/D24</f>
        <v>4.2224740600736374E-2</v>
      </c>
      <c r="J18" s="203" t="e">
        <f>E18/E24</f>
        <v>#REF!</v>
      </c>
      <c r="K18" s="203" t="e">
        <f>F18/F24</f>
        <v>#REF!</v>
      </c>
    </row>
    <row r="19" spans="1:11" s="156" customFormat="1">
      <c r="A19" s="157"/>
      <c r="B19" s="159"/>
      <c r="C19" s="159"/>
      <c r="D19" s="159"/>
      <c r="E19" s="159"/>
      <c r="F19" s="159"/>
      <c r="G19" s="203"/>
      <c r="H19" s="203"/>
      <c r="I19" s="203"/>
      <c r="J19" s="203"/>
      <c r="K19" s="203"/>
    </row>
    <row r="20" spans="1:11" s="156" customFormat="1">
      <c r="A20" s="157" t="s">
        <v>2</v>
      </c>
      <c r="B20" s="159">
        <v>22405071</v>
      </c>
      <c r="C20" s="159">
        <v>24854665</v>
      </c>
      <c r="D20" s="159">
        <v>27564774</v>
      </c>
      <c r="E20" s="159" t="e">
        <f>'Rev Summ'!#REF!</f>
        <v>#REF!</v>
      </c>
      <c r="F20" s="159" t="e">
        <f>'Rev Summ'!#REF!</f>
        <v>#REF!</v>
      </c>
      <c r="G20" s="203">
        <f>B20/B24</f>
        <v>0.2635910794933789</v>
      </c>
      <c r="H20" s="203">
        <f>C20/C24</f>
        <v>0.25005473762425401</v>
      </c>
      <c r="I20" s="203">
        <f>D20/D24</f>
        <v>0.27246461491864382</v>
      </c>
      <c r="J20" s="203" t="e">
        <f>E20/E24</f>
        <v>#REF!</v>
      </c>
      <c r="K20" s="203" t="e">
        <f>F20/F24</f>
        <v>#REF!</v>
      </c>
    </row>
    <row r="21" spans="1:11" s="156" customFormat="1">
      <c r="A21" s="157"/>
      <c r="B21" s="159"/>
      <c r="C21" s="159"/>
      <c r="D21" s="159"/>
      <c r="E21" s="159"/>
      <c r="F21" s="159"/>
      <c r="G21" s="203"/>
      <c r="H21" s="203"/>
      <c r="I21" s="203"/>
      <c r="J21" s="203"/>
      <c r="K21" s="203"/>
    </row>
    <row r="22" spans="1:11" s="156" customFormat="1">
      <c r="A22" s="157" t="s">
        <v>64</v>
      </c>
      <c r="B22" s="159">
        <v>9704025.1899999995</v>
      </c>
      <c r="C22" s="159">
        <v>13349142</v>
      </c>
      <c r="D22" s="159">
        <v>9188746</v>
      </c>
      <c r="E22" s="159" t="e">
        <f>'Rev Summ'!#REF!</f>
        <v>#REF!</v>
      </c>
      <c r="F22" s="159" t="e">
        <f>'Rev Summ'!#REF!</f>
        <v>#REF!</v>
      </c>
      <c r="G22" s="203">
        <f>B22/B24</f>
        <v>0.11416587232698532</v>
      </c>
      <c r="H22" s="203">
        <f>C22/C24</f>
        <v>0.13430139574679076</v>
      </c>
      <c r="I22" s="203">
        <f>D22/D24</f>
        <v>9.0826361952948673E-2</v>
      </c>
      <c r="J22" s="203" t="e">
        <f>E22/E24</f>
        <v>#REF!</v>
      </c>
      <c r="K22" s="203" t="e">
        <f>F22/F24</f>
        <v>#REF!</v>
      </c>
    </row>
    <row r="23" spans="1:11" s="156" customFormat="1">
      <c r="A23" s="157"/>
      <c r="B23" s="159"/>
      <c r="C23" s="159"/>
      <c r="D23" s="159"/>
      <c r="E23" s="159"/>
      <c r="F23" s="159"/>
      <c r="G23" s="203"/>
      <c r="H23" s="203"/>
      <c r="I23" s="203"/>
      <c r="J23" s="203"/>
      <c r="K23" s="203"/>
    </row>
    <row r="24" spans="1:11" s="179" customFormat="1" ht="45.75" customHeight="1" thickBot="1">
      <c r="A24" s="198" t="s">
        <v>73</v>
      </c>
      <c r="B24" s="199">
        <f>SUM(B12:B22)</f>
        <v>84999352.189999998</v>
      </c>
      <c r="C24" s="199">
        <f>SUM(C12:C22)</f>
        <v>99396897</v>
      </c>
      <c r="D24" s="199">
        <f>SUM(D11:D23)</f>
        <v>101168271</v>
      </c>
      <c r="E24" s="199" t="e">
        <f>SUM(E12:E22)</f>
        <v>#REF!</v>
      </c>
      <c r="F24" s="199" t="e">
        <f>SUM(F12:F22)</f>
        <v>#REF!</v>
      </c>
      <c r="G24" s="204">
        <f>SUM(G12:G23)</f>
        <v>1</v>
      </c>
      <c r="H24" s="204">
        <f>SUM(H12:H23)</f>
        <v>1</v>
      </c>
      <c r="I24" s="204">
        <f>SUM(I12:I23)</f>
        <v>1</v>
      </c>
      <c r="J24" s="204" t="e">
        <f>SUM(J12:J23)</f>
        <v>#REF!</v>
      </c>
      <c r="K24" s="204" t="e">
        <f>SUM(K12:K23)</f>
        <v>#REF!</v>
      </c>
    </row>
    <row r="25" spans="1:11" ht="15.75" thickTop="1">
      <c r="B25" s="170"/>
      <c r="C25" s="170"/>
      <c r="D25" s="170"/>
      <c r="E25" s="170"/>
      <c r="F25" s="170"/>
    </row>
    <row r="27" spans="1:11">
      <c r="C27" s="169"/>
      <c r="D27" s="169"/>
    </row>
    <row r="28" spans="1:11" ht="15.75">
      <c r="A28" s="193" t="s">
        <v>81</v>
      </c>
      <c r="C28" s="169"/>
      <c r="D28" s="184"/>
      <c r="E28" s="174"/>
      <c r="F28" s="174"/>
    </row>
    <row r="29" spans="1:11">
      <c r="A29" s="191"/>
      <c r="D29" s="173"/>
      <c r="E29" s="173"/>
      <c r="F29" s="172"/>
      <c r="G29" s="174"/>
    </row>
    <row r="30" spans="1:11">
      <c r="A30" s="192"/>
      <c r="D30" s="173"/>
      <c r="E30" s="173"/>
      <c r="F30" s="172"/>
      <c r="G30" s="174"/>
    </row>
    <row r="31" spans="1:11">
      <c r="A31" s="200">
        <v>60000000</v>
      </c>
      <c r="D31" s="173"/>
      <c r="E31" s="173"/>
      <c r="F31" s="172"/>
      <c r="G31" s="174"/>
    </row>
    <row r="32" spans="1:11">
      <c r="A32" s="200"/>
      <c r="C32" s="175"/>
      <c r="D32" s="175"/>
      <c r="E32" s="174"/>
    </row>
    <row r="33" spans="1:5">
      <c r="A33" s="200"/>
      <c r="C33" s="173"/>
      <c r="D33" s="173"/>
    </row>
    <row r="34" spans="1:5">
      <c r="A34" s="200"/>
      <c r="C34" s="176"/>
      <c r="D34" s="176"/>
      <c r="E34" s="171"/>
    </row>
    <row r="35" spans="1:5">
      <c r="A35" s="200"/>
      <c r="C35" s="176"/>
      <c r="D35" s="176"/>
      <c r="E35" s="171"/>
    </row>
    <row r="36" spans="1:5">
      <c r="A36" s="200">
        <v>50000000</v>
      </c>
    </row>
    <row r="37" spans="1:5">
      <c r="A37" s="200"/>
    </row>
    <row r="38" spans="1:5">
      <c r="A38" s="200"/>
    </row>
    <row r="39" spans="1:5">
      <c r="A39" s="200"/>
    </row>
    <row r="40" spans="1:5">
      <c r="A40" s="200">
        <v>40000000</v>
      </c>
    </row>
    <row r="41" spans="1:5">
      <c r="A41" s="200"/>
    </row>
    <row r="42" spans="1:5">
      <c r="A42" s="200"/>
    </row>
    <row r="43" spans="1:5">
      <c r="A43" s="200"/>
    </row>
    <row r="44" spans="1:5">
      <c r="A44" s="200"/>
    </row>
    <row r="45" spans="1:5">
      <c r="A45" s="200">
        <v>30000000</v>
      </c>
    </row>
    <row r="46" spans="1:5">
      <c r="A46" s="200"/>
    </row>
    <row r="47" spans="1:5">
      <c r="A47" s="200"/>
    </row>
    <row r="48" spans="1:5">
      <c r="A48" s="200"/>
    </row>
    <row r="49" spans="1:5">
      <c r="A49" s="200"/>
    </row>
    <row r="50" spans="1:5">
      <c r="A50" s="200">
        <v>20000000</v>
      </c>
    </row>
    <row r="51" spans="1:5">
      <c r="A51" s="200"/>
    </row>
    <row r="52" spans="1:5">
      <c r="A52" s="200"/>
    </row>
    <row r="53" spans="1:5">
      <c r="A53" s="200"/>
    </row>
    <row r="54" spans="1:5">
      <c r="A54" s="201">
        <v>0</v>
      </c>
    </row>
    <row r="55" spans="1:5">
      <c r="A55" s="690"/>
      <c r="B55" s="690"/>
      <c r="C55" s="690"/>
    </row>
    <row r="58" spans="1:5">
      <c r="A58" s="691"/>
      <c r="B58" s="691"/>
      <c r="C58" s="691"/>
      <c r="D58" s="177"/>
      <c r="E58" s="177"/>
    </row>
    <row r="59" spans="1:5">
      <c r="A59" s="206" t="s">
        <v>102</v>
      </c>
      <c r="E59" s="182"/>
    </row>
  </sheetData>
  <mergeCells count="2">
    <mergeCell ref="A55:C55"/>
    <mergeCell ref="A58:C58"/>
  </mergeCells>
  <printOptions horizontalCentered="1"/>
  <pageMargins left="0.5" right="0.5" top="1" bottom="0.5" header="1" footer="0.5"/>
  <pageSetup scale="6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3359-2512-4807-9A7E-3A91CB285062}">
  <dimension ref="A1:IW52"/>
  <sheetViews>
    <sheetView tabSelected="1" showOutlineSymbols="0" view="pageBreakPreview" zoomScale="87" zoomScaleNormal="100" zoomScaleSheetLayoutView="87" workbookViewId="0"/>
  </sheetViews>
  <sheetFormatPr defaultColWidth="9.6640625" defaultRowHeight="15.75"/>
  <cols>
    <col min="1" max="1" width="30.77734375" style="358" customWidth="1"/>
    <col min="2" max="2" width="2.77734375" style="358" customWidth="1"/>
    <col min="3" max="3" width="15.77734375" style="358" customWidth="1"/>
    <col min="4" max="4" width="2.77734375" style="358" customWidth="1"/>
    <col min="5" max="5" width="15.77734375" style="358" customWidth="1"/>
    <col min="6" max="257" width="9.6640625" style="358" customWidth="1"/>
    <col min="258" max="16384" width="9.6640625" style="358"/>
  </cols>
  <sheetData>
    <row r="1" spans="1:257" ht="23.25">
      <c r="A1" s="495" t="s">
        <v>65</v>
      </c>
      <c r="B1" s="356"/>
      <c r="C1" s="355"/>
      <c r="D1" s="355"/>
      <c r="E1" s="355"/>
    </row>
    <row r="2" spans="1:257" ht="21">
      <c r="A2" s="496" t="s">
        <v>200</v>
      </c>
      <c r="B2" s="356"/>
      <c r="C2" s="355"/>
      <c r="D2" s="355"/>
      <c r="E2" s="355"/>
    </row>
    <row r="3" spans="1:257" ht="18.75">
      <c r="A3" s="497" t="s">
        <v>201</v>
      </c>
      <c r="B3" s="356"/>
      <c r="C3" s="355"/>
      <c r="D3" s="355"/>
      <c r="E3" s="355"/>
    </row>
    <row r="4" spans="1:257" ht="15.75" customHeight="1">
      <c r="B4" s="356"/>
      <c r="C4" s="355"/>
      <c r="D4" s="355"/>
      <c r="E4" s="355"/>
    </row>
    <row r="5" spans="1:257">
      <c r="A5" s="356" t="s">
        <v>155</v>
      </c>
      <c r="B5" s="356"/>
      <c r="C5" s="355"/>
      <c r="D5" s="355"/>
      <c r="E5" s="355"/>
    </row>
    <row r="6" spans="1:257" ht="15.75" customHeight="1">
      <c r="A6" s="356"/>
      <c r="B6" s="356"/>
      <c r="C6" s="355"/>
      <c r="D6" s="355"/>
      <c r="E6" s="355"/>
    </row>
    <row r="7" spans="1:257" ht="15.75" customHeight="1"/>
    <row r="8" spans="1:257" ht="45.75" thickBot="1">
      <c r="A8" s="498" t="s">
        <v>202</v>
      </c>
      <c r="B8" s="498"/>
      <c r="C8" s="498" t="s">
        <v>203</v>
      </c>
      <c r="D8" s="498"/>
      <c r="E8" s="498" t="s">
        <v>204</v>
      </c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8"/>
      <c r="DV8" s="378"/>
      <c r="DW8" s="378"/>
      <c r="DX8" s="378"/>
      <c r="DY8" s="378"/>
      <c r="DZ8" s="378"/>
      <c r="EA8" s="378"/>
      <c r="EB8" s="378"/>
      <c r="EC8" s="378"/>
      <c r="ED8" s="378"/>
      <c r="EE8" s="378"/>
      <c r="EF8" s="378"/>
      <c r="EG8" s="378"/>
      <c r="EH8" s="378"/>
      <c r="EI8" s="378"/>
      <c r="EJ8" s="378"/>
      <c r="EK8" s="378"/>
      <c r="EL8" s="378"/>
      <c r="EM8" s="378"/>
      <c r="EN8" s="378"/>
      <c r="EO8" s="378"/>
      <c r="EP8" s="378"/>
      <c r="EQ8" s="378"/>
      <c r="ER8" s="378"/>
      <c r="ES8" s="378"/>
      <c r="ET8" s="378"/>
      <c r="EU8" s="378"/>
      <c r="EV8" s="378"/>
      <c r="EW8" s="378"/>
      <c r="EX8" s="378"/>
      <c r="EY8" s="378"/>
      <c r="EZ8" s="378"/>
      <c r="FA8" s="378"/>
      <c r="FB8" s="378"/>
      <c r="FC8" s="378"/>
      <c r="FD8" s="378"/>
      <c r="FE8" s="378"/>
      <c r="FF8" s="378"/>
      <c r="FG8" s="378"/>
      <c r="FH8" s="378"/>
      <c r="FI8" s="378"/>
      <c r="FJ8" s="378"/>
      <c r="FK8" s="378"/>
      <c r="FL8" s="378"/>
      <c r="FM8" s="378"/>
      <c r="FN8" s="378"/>
      <c r="FO8" s="378"/>
      <c r="FP8" s="378"/>
      <c r="FQ8" s="378"/>
      <c r="FR8" s="378"/>
      <c r="FS8" s="378"/>
      <c r="FT8" s="378"/>
      <c r="FU8" s="378"/>
      <c r="FV8" s="378"/>
      <c r="FW8" s="378"/>
      <c r="FX8" s="378"/>
      <c r="FY8" s="378"/>
      <c r="FZ8" s="378"/>
      <c r="GA8" s="378"/>
      <c r="GB8" s="378"/>
      <c r="GC8" s="378"/>
      <c r="GD8" s="378"/>
      <c r="GE8" s="378"/>
      <c r="GF8" s="378"/>
      <c r="GG8" s="378"/>
      <c r="GH8" s="378"/>
      <c r="GI8" s="378"/>
      <c r="GJ8" s="378"/>
      <c r="GK8" s="378"/>
      <c r="GL8" s="378"/>
      <c r="GM8" s="378"/>
      <c r="GN8" s="378"/>
      <c r="GO8" s="378"/>
      <c r="GP8" s="378"/>
      <c r="GQ8" s="378"/>
      <c r="GR8" s="378"/>
      <c r="GS8" s="378"/>
      <c r="GT8" s="378"/>
      <c r="GU8" s="378"/>
      <c r="GV8" s="378"/>
      <c r="GW8" s="378"/>
      <c r="GX8" s="378"/>
      <c r="GY8" s="378"/>
      <c r="GZ8" s="378"/>
      <c r="HA8" s="378"/>
      <c r="HB8" s="378"/>
      <c r="HC8" s="378"/>
      <c r="HD8" s="378"/>
      <c r="HE8" s="378"/>
      <c r="HF8" s="378"/>
      <c r="HG8" s="378"/>
      <c r="HH8" s="378"/>
      <c r="HI8" s="378"/>
      <c r="HJ8" s="378"/>
      <c r="HK8" s="378"/>
      <c r="HL8" s="378"/>
      <c r="HM8" s="378"/>
      <c r="HN8" s="378"/>
      <c r="HO8" s="378"/>
      <c r="HP8" s="378"/>
      <c r="HQ8" s="378"/>
      <c r="HR8" s="378"/>
      <c r="HS8" s="378"/>
      <c r="HT8" s="378"/>
      <c r="HU8" s="378"/>
      <c r="HV8" s="378"/>
      <c r="HW8" s="378"/>
      <c r="HX8" s="378"/>
      <c r="HY8" s="378"/>
      <c r="HZ8" s="378"/>
      <c r="IA8" s="378"/>
      <c r="IB8" s="378"/>
      <c r="IC8" s="378"/>
      <c r="ID8" s="378"/>
      <c r="IE8" s="378"/>
      <c r="IF8" s="378"/>
      <c r="IG8" s="378"/>
      <c r="IH8" s="378"/>
      <c r="II8" s="378"/>
      <c r="IJ8" s="378"/>
      <c r="IK8" s="378"/>
      <c r="IL8" s="378"/>
      <c r="IM8" s="378"/>
      <c r="IN8" s="378"/>
      <c r="IO8" s="378"/>
      <c r="IP8" s="378"/>
      <c r="IQ8" s="378"/>
      <c r="IR8" s="378"/>
      <c r="IS8" s="378"/>
      <c r="IT8" s="378"/>
      <c r="IU8" s="378"/>
      <c r="IV8" s="378"/>
      <c r="IW8" s="378"/>
    </row>
    <row r="9" spans="1:257">
      <c r="A9" s="499"/>
      <c r="B9" s="500"/>
      <c r="C9" s="501"/>
      <c r="D9" s="429"/>
      <c r="E9" s="501"/>
    </row>
    <row r="10" spans="1:257" ht="15" customHeight="1">
      <c r="A10" s="502" t="s">
        <v>15</v>
      </c>
      <c r="B10" s="503"/>
      <c r="C10" s="504">
        <v>204151801</v>
      </c>
      <c r="D10" s="505"/>
      <c r="E10" s="504">
        <v>204151801</v>
      </c>
      <c r="F10" s="396"/>
    </row>
    <row r="11" spans="1:257" ht="15" customHeight="1">
      <c r="A11" s="502"/>
      <c r="B11" s="503"/>
      <c r="C11" s="506"/>
      <c r="D11" s="505"/>
      <c r="E11" s="506"/>
      <c r="F11" s="396"/>
    </row>
    <row r="12" spans="1:257" ht="15" customHeight="1">
      <c r="A12" s="502" t="s">
        <v>205</v>
      </c>
      <c r="B12" s="503"/>
      <c r="C12" s="504">
        <v>3185129</v>
      </c>
      <c r="D12" s="505"/>
      <c r="E12" s="504">
        <v>3185129</v>
      </c>
      <c r="F12" s="396"/>
    </row>
    <row r="13" spans="1:257" ht="15" customHeight="1">
      <c r="A13" s="502"/>
      <c r="B13" s="503"/>
      <c r="C13" s="507"/>
      <c r="D13" s="508"/>
      <c r="E13" s="507"/>
      <c r="F13" s="509"/>
    </row>
    <row r="14" spans="1:257" ht="15" customHeight="1">
      <c r="A14" s="502" t="s">
        <v>206</v>
      </c>
      <c r="B14" s="503"/>
      <c r="C14" s="510">
        <v>77479672</v>
      </c>
      <c r="D14" s="508"/>
      <c r="E14" s="510">
        <v>77479672</v>
      </c>
      <c r="F14" s="509"/>
    </row>
    <row r="15" spans="1:257" ht="15" customHeight="1">
      <c r="A15" s="502"/>
      <c r="B15" s="503"/>
      <c r="C15" s="507"/>
      <c r="D15" s="508"/>
      <c r="E15" s="507"/>
      <c r="F15" s="509"/>
    </row>
    <row r="16" spans="1:257" ht="15" customHeight="1">
      <c r="A16" s="502" t="s">
        <v>207</v>
      </c>
      <c r="B16" s="503"/>
      <c r="C16" s="510">
        <v>8000</v>
      </c>
      <c r="D16" s="508"/>
      <c r="E16" s="510">
        <v>8000</v>
      </c>
      <c r="F16" s="509"/>
    </row>
    <row r="17" spans="1:6" ht="15" customHeight="1">
      <c r="A17" s="502"/>
      <c r="B17" s="503"/>
      <c r="C17" s="507"/>
      <c r="D17" s="508"/>
      <c r="E17" s="507"/>
      <c r="F17" s="509"/>
    </row>
    <row r="18" spans="1:6" ht="15" customHeight="1">
      <c r="A18" s="502" t="s">
        <v>208</v>
      </c>
      <c r="B18" s="503"/>
      <c r="C18" s="510">
        <v>36744604</v>
      </c>
      <c r="D18" s="511"/>
      <c r="E18" s="510">
        <f>C18</f>
        <v>36744604</v>
      </c>
      <c r="F18" s="509"/>
    </row>
    <row r="19" spans="1:6" ht="15" customHeight="1">
      <c r="A19" s="502"/>
      <c r="B19" s="503"/>
      <c r="C19" s="512"/>
      <c r="D19" s="511"/>
      <c r="E19" s="512"/>
      <c r="F19" s="509"/>
    </row>
    <row r="20" spans="1:6" ht="15" customHeight="1">
      <c r="A20" s="502" t="s">
        <v>209</v>
      </c>
      <c r="B20" s="503"/>
      <c r="C20" s="510">
        <v>11290040</v>
      </c>
      <c r="D20" s="511"/>
      <c r="E20" s="510">
        <f>C20</f>
        <v>11290040</v>
      </c>
      <c r="F20" s="509"/>
    </row>
    <row r="21" spans="1:6" ht="15" customHeight="1">
      <c r="A21" s="502"/>
      <c r="B21" s="503"/>
      <c r="C21" s="512"/>
      <c r="D21" s="511"/>
      <c r="E21" s="512"/>
      <c r="F21" s="509"/>
    </row>
    <row r="22" spans="1:6" ht="15" customHeight="1">
      <c r="A22" s="502" t="s">
        <v>210</v>
      </c>
      <c r="B22" s="503"/>
      <c r="C22" s="510">
        <v>21974019</v>
      </c>
      <c r="D22" s="511"/>
      <c r="E22" s="510">
        <v>21974019</v>
      </c>
      <c r="F22" s="509"/>
    </row>
    <row r="23" spans="1:6">
      <c r="A23" s="503"/>
      <c r="B23" s="503"/>
      <c r="C23" s="513"/>
      <c r="D23" s="513"/>
      <c r="E23" s="513"/>
      <c r="F23" s="514"/>
    </row>
    <row r="24" spans="1:6">
      <c r="A24" s="503"/>
      <c r="B24" s="503"/>
      <c r="C24" s="513"/>
      <c r="D24" s="513"/>
      <c r="E24" s="513"/>
      <c r="F24" s="514"/>
    </row>
    <row r="25" spans="1:6">
      <c r="A25" s="503" t="s">
        <v>211</v>
      </c>
      <c r="B25" s="503"/>
      <c r="C25" s="513"/>
      <c r="D25" s="513"/>
      <c r="E25" s="513"/>
      <c r="F25" s="514"/>
    </row>
    <row r="26" spans="1:6">
      <c r="A26" s="391"/>
      <c r="B26" s="391"/>
      <c r="C26" s="515"/>
      <c r="D26" s="515"/>
      <c r="E26" s="515"/>
      <c r="F26" s="514"/>
    </row>
    <row r="27" spans="1:6">
      <c r="A27" s="391"/>
      <c r="B27" s="391"/>
      <c r="C27" s="515"/>
      <c r="D27" s="515"/>
      <c r="E27" s="515"/>
      <c r="F27" s="514"/>
    </row>
    <row r="28" spans="1:6">
      <c r="A28" s="391"/>
      <c r="B28" s="391"/>
      <c r="C28" s="515"/>
      <c r="D28" s="515"/>
      <c r="E28" s="515"/>
      <c r="F28" s="514"/>
    </row>
    <row r="29" spans="1:6">
      <c r="A29" s="378"/>
      <c r="B29" s="378"/>
      <c r="C29" s="515"/>
      <c r="D29" s="515"/>
      <c r="E29" s="515"/>
      <c r="F29" s="514"/>
    </row>
    <row r="30" spans="1:6">
      <c r="A30" s="378"/>
      <c r="B30" s="378"/>
      <c r="C30" s="515"/>
      <c r="D30" s="515"/>
      <c r="E30" s="515"/>
      <c r="F30" s="514"/>
    </row>
    <row r="31" spans="1:6">
      <c r="A31" s="378"/>
      <c r="B31" s="378"/>
      <c r="C31" s="515"/>
      <c r="D31" s="515"/>
      <c r="E31" s="515"/>
      <c r="F31" s="514"/>
    </row>
    <row r="32" spans="1:6">
      <c r="A32" s="378"/>
      <c r="B32" s="378"/>
      <c r="C32" s="515"/>
      <c r="D32" s="515"/>
      <c r="E32" s="515"/>
      <c r="F32" s="515"/>
    </row>
    <row r="33" spans="1:6">
      <c r="A33" s="378"/>
      <c r="B33" s="378"/>
      <c r="C33" s="515"/>
      <c r="D33" s="515"/>
      <c r="E33" s="515"/>
      <c r="F33" s="515"/>
    </row>
    <row r="34" spans="1:6">
      <c r="A34" s="378"/>
      <c r="B34" s="378"/>
      <c r="C34" s="515"/>
      <c r="D34" s="515"/>
      <c r="E34" s="515"/>
      <c r="F34" s="515"/>
    </row>
    <row r="35" spans="1:6">
      <c r="A35" s="378"/>
      <c r="B35" s="378"/>
      <c r="C35" s="515"/>
      <c r="D35" s="515"/>
      <c r="E35" s="515"/>
      <c r="F35" s="515"/>
    </row>
    <row r="36" spans="1:6">
      <c r="C36" s="515"/>
      <c r="D36" s="515"/>
      <c r="E36" s="515"/>
      <c r="F36" s="515"/>
    </row>
    <row r="37" spans="1:6">
      <c r="C37" s="515"/>
      <c r="D37" s="515"/>
      <c r="E37" s="515"/>
      <c r="F37" s="515"/>
    </row>
    <row r="38" spans="1:6">
      <c r="C38" s="515"/>
      <c r="D38" s="515"/>
      <c r="E38" s="515"/>
      <c r="F38" s="515"/>
    </row>
    <row r="39" spans="1:6">
      <c r="C39" s="515"/>
      <c r="D39" s="515"/>
      <c r="E39" s="515"/>
      <c r="F39" s="515"/>
    </row>
    <row r="40" spans="1:6">
      <c r="C40" s="515"/>
      <c r="D40" s="515"/>
      <c r="E40" s="515"/>
      <c r="F40" s="515"/>
    </row>
    <row r="41" spans="1:6">
      <c r="C41" s="515"/>
      <c r="D41" s="515"/>
      <c r="E41" s="515"/>
      <c r="F41" s="515"/>
    </row>
    <row r="42" spans="1:6">
      <c r="C42" s="515"/>
      <c r="D42" s="515"/>
      <c r="E42" s="515"/>
      <c r="F42" s="515"/>
    </row>
    <row r="43" spans="1:6">
      <c r="C43" s="515"/>
      <c r="D43" s="515"/>
      <c r="E43" s="515"/>
      <c r="F43" s="515"/>
    </row>
    <row r="44" spans="1:6">
      <c r="C44" s="515"/>
      <c r="D44" s="515"/>
      <c r="E44" s="515"/>
      <c r="F44" s="515"/>
    </row>
    <row r="45" spans="1:6">
      <c r="C45" s="515"/>
      <c r="D45" s="515"/>
      <c r="E45" s="515"/>
      <c r="F45" s="515"/>
    </row>
    <row r="52" spans="5:5">
      <c r="E52" s="376"/>
    </row>
  </sheetData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F178"/>
  <sheetViews>
    <sheetView showOutlineSymbols="0" view="pageBreakPreview" zoomScaleNormal="100" zoomScaleSheetLayoutView="100" workbookViewId="0">
      <selection activeCell="F6" sqref="F6"/>
    </sheetView>
  </sheetViews>
  <sheetFormatPr defaultColWidth="9.6640625" defaultRowHeight="17.25"/>
  <cols>
    <col min="1" max="1" width="16.33203125" style="244" customWidth="1"/>
    <col min="2" max="2" width="24.21875" style="244" customWidth="1"/>
    <col min="3" max="3" width="2" style="244" customWidth="1"/>
    <col min="4" max="4" width="20.77734375" style="244" customWidth="1"/>
    <col min="5" max="5" width="2" style="244" customWidth="1"/>
    <col min="6" max="7" width="20.77734375" style="244" customWidth="1"/>
    <col min="8" max="8" width="12.21875" style="244" customWidth="1"/>
    <col min="9" max="16384" width="9.6640625" style="244"/>
  </cols>
  <sheetData>
    <row r="1" spans="1:32" ht="29.25">
      <c r="B1" s="649" t="s">
        <v>65</v>
      </c>
      <c r="C1" s="649"/>
      <c r="D1" s="649"/>
      <c r="E1" s="649"/>
      <c r="F1" s="649"/>
      <c r="G1" s="243"/>
    </row>
    <row r="2" spans="1:32" ht="26.25">
      <c r="B2" s="650" t="s">
        <v>8</v>
      </c>
      <c r="C2" s="650"/>
      <c r="D2" s="650"/>
      <c r="E2" s="650"/>
      <c r="F2" s="650"/>
      <c r="G2" s="243"/>
    </row>
    <row r="3" spans="1:32" ht="22.5">
      <c r="B3" s="651" t="s">
        <v>9</v>
      </c>
      <c r="C3" s="651"/>
      <c r="D3" s="651"/>
      <c r="E3" s="651"/>
      <c r="F3" s="651"/>
      <c r="G3" s="243"/>
      <c r="H3" s="246"/>
    </row>
    <row r="4" spans="1:32" ht="16.5" customHeight="1">
      <c r="B4" s="245"/>
      <c r="C4" s="243"/>
      <c r="D4" s="243"/>
      <c r="E4" s="243"/>
      <c r="F4" s="243"/>
      <c r="G4" s="243"/>
      <c r="H4" s="246"/>
    </row>
    <row r="5" spans="1:32" ht="19.5">
      <c r="B5" s="652" t="s">
        <v>155</v>
      </c>
      <c r="C5" s="652"/>
      <c r="D5" s="652"/>
      <c r="E5" s="652"/>
      <c r="F5" s="652"/>
      <c r="G5" s="243"/>
      <c r="H5" s="246"/>
    </row>
    <row r="6" spans="1:32" ht="16.5" customHeight="1">
      <c r="A6" s="247"/>
      <c r="B6" s="243"/>
      <c r="C6" s="243"/>
      <c r="D6" s="243"/>
      <c r="E6" s="243"/>
      <c r="F6" s="243"/>
      <c r="G6" s="243"/>
      <c r="H6" s="246"/>
    </row>
    <row r="7" spans="1:32" ht="16.5" customHeight="1">
      <c r="A7" s="247"/>
      <c r="B7" s="243"/>
      <c r="C7" s="243"/>
      <c r="D7" s="243"/>
      <c r="E7" s="243"/>
      <c r="F7" s="243"/>
      <c r="G7" s="243"/>
      <c r="H7" s="246"/>
    </row>
    <row r="8" spans="1:32" ht="16.5" customHeight="1">
      <c r="C8" s="248"/>
      <c r="D8" s="243"/>
      <c r="E8" s="248"/>
    </row>
    <row r="9" spans="1:32" ht="30" customHeight="1" thickBot="1">
      <c r="B9" s="275" t="s">
        <v>17</v>
      </c>
      <c r="C9" s="250"/>
      <c r="D9" s="276" t="s">
        <v>156</v>
      </c>
      <c r="E9" s="251"/>
      <c r="F9" s="276" t="s">
        <v>74</v>
      </c>
    </row>
    <row r="10" spans="1:32" ht="17.25" customHeight="1">
      <c r="C10" s="248"/>
      <c r="D10" s="252"/>
      <c r="E10" s="248"/>
      <c r="F10" s="252"/>
    </row>
    <row r="11" spans="1:32" ht="19.5" customHeight="1">
      <c r="B11" s="271" t="s">
        <v>16</v>
      </c>
      <c r="C11" s="248"/>
      <c r="D11" s="272">
        <v>52994625</v>
      </c>
      <c r="E11" s="253"/>
      <c r="F11" s="274">
        <v>0.25958441091587531</v>
      </c>
      <c r="G11" s="254"/>
      <c r="H11" s="255"/>
      <c r="J11" s="246"/>
      <c r="K11" s="246"/>
    </row>
    <row r="12" spans="1:32" ht="19.5" customHeight="1">
      <c r="B12" s="271" t="s">
        <v>7</v>
      </c>
      <c r="C12" s="248"/>
      <c r="D12" s="273">
        <v>55810730</v>
      </c>
      <c r="E12" s="256"/>
      <c r="F12" s="274">
        <v>0.27347858263616298</v>
      </c>
      <c r="G12" s="254"/>
      <c r="H12" s="255"/>
      <c r="J12" s="246"/>
      <c r="K12" s="246"/>
    </row>
    <row r="13" spans="1:32" ht="19.5" customHeight="1">
      <c r="B13" s="271" t="s">
        <v>11</v>
      </c>
      <c r="C13" s="248"/>
      <c r="D13" s="273">
        <v>2912740</v>
      </c>
      <c r="E13" s="256"/>
      <c r="F13" s="274">
        <v>1.4267520471200742E-2</v>
      </c>
      <c r="G13" s="254"/>
      <c r="H13" s="255"/>
      <c r="J13" s="246"/>
      <c r="K13" s="246"/>
      <c r="AF13" s="244">
        <v>38583036</v>
      </c>
    </row>
    <row r="14" spans="1:32" ht="19.5" customHeight="1">
      <c r="B14" s="271" t="s">
        <v>2</v>
      </c>
      <c r="C14" s="248"/>
      <c r="D14" s="273">
        <v>68095878</v>
      </c>
      <c r="E14" s="256"/>
      <c r="F14" s="274">
        <v>0.33355511764503121</v>
      </c>
      <c r="G14" s="254"/>
      <c r="H14" s="255"/>
      <c r="J14" s="246"/>
      <c r="K14" s="246"/>
    </row>
    <row r="15" spans="1:32" ht="19.5">
      <c r="B15" s="271" t="s">
        <v>1</v>
      </c>
      <c r="C15" s="248"/>
      <c r="D15" s="273">
        <v>9794475</v>
      </c>
      <c r="E15" s="256"/>
      <c r="F15" s="274">
        <v>4.7976432008062474E-2</v>
      </c>
      <c r="G15" s="254"/>
      <c r="H15" s="255"/>
      <c r="J15" s="246"/>
      <c r="K15" s="246"/>
    </row>
    <row r="16" spans="1:32" ht="19.5">
      <c r="B16" s="271" t="s">
        <v>135</v>
      </c>
      <c r="C16" s="248"/>
      <c r="D16" s="273">
        <v>14543353</v>
      </c>
      <c r="E16" s="256"/>
      <c r="F16" s="274">
        <v>7.1037936323667297E-2</v>
      </c>
      <c r="G16" s="254"/>
      <c r="H16" s="255"/>
      <c r="J16" s="246"/>
      <c r="K16" s="246"/>
    </row>
    <row r="17" spans="1:32" ht="18" thickBot="1">
      <c r="C17" s="248"/>
      <c r="D17" s="256"/>
      <c r="E17" s="256"/>
      <c r="F17" s="257"/>
      <c r="G17" s="258"/>
      <c r="H17" s="258"/>
    </row>
    <row r="18" spans="1:32" ht="20.25" customHeight="1" thickBot="1">
      <c r="B18" s="259" t="s">
        <v>6</v>
      </c>
      <c r="C18" s="260"/>
      <c r="D18" s="261">
        <v>204151801</v>
      </c>
      <c r="E18" s="262"/>
      <c r="F18" s="263">
        <v>1</v>
      </c>
      <c r="G18" s="264"/>
      <c r="H18" s="264"/>
    </row>
    <row r="19" spans="1:32" ht="18" thickTop="1">
      <c r="C19" s="248"/>
      <c r="E19" s="248"/>
      <c r="G19" s="254"/>
      <c r="H19" s="254"/>
    </row>
    <row r="21" spans="1:32">
      <c r="A21" s="249"/>
      <c r="C21" s="265"/>
      <c r="D21" s="265"/>
      <c r="E21" s="265"/>
      <c r="F21" s="265"/>
      <c r="G21" s="249"/>
    </row>
    <row r="23" spans="1:32">
      <c r="A23" s="249"/>
      <c r="B23" s="249"/>
      <c r="C23" s="249"/>
      <c r="D23" s="249"/>
      <c r="E23" s="249"/>
      <c r="F23" s="249"/>
      <c r="G23" s="249"/>
    </row>
    <row r="24" spans="1:32">
      <c r="A24" s="249"/>
      <c r="B24" s="249"/>
      <c r="C24" s="249"/>
      <c r="D24" s="249"/>
      <c r="E24" s="249"/>
      <c r="F24" s="249"/>
      <c r="G24" s="249"/>
    </row>
    <row r="25" spans="1:32">
      <c r="A25" s="249"/>
      <c r="B25" s="249"/>
      <c r="C25" s="249"/>
      <c r="D25" s="249"/>
      <c r="E25" s="249"/>
      <c r="F25" s="249"/>
      <c r="G25" s="249"/>
    </row>
    <row r="26" spans="1:32">
      <c r="A26" s="249"/>
      <c r="B26" s="249"/>
      <c r="C26" s="249"/>
      <c r="D26" s="249"/>
      <c r="E26" s="249"/>
      <c r="F26" s="249"/>
      <c r="G26" s="249"/>
    </row>
    <row r="27" spans="1:32">
      <c r="A27" s="249"/>
      <c r="B27" s="249"/>
      <c r="C27" s="249"/>
      <c r="D27" s="249"/>
      <c r="E27" s="249"/>
      <c r="F27" s="249"/>
      <c r="G27" s="249"/>
    </row>
    <row r="28" spans="1:32">
      <c r="A28" s="249"/>
      <c r="B28" s="249"/>
      <c r="C28" s="249"/>
      <c r="D28" s="249"/>
      <c r="E28" s="249"/>
      <c r="F28" s="249"/>
      <c r="G28" s="249"/>
      <c r="AF28" s="244">
        <v>467199</v>
      </c>
    </row>
    <row r="29" spans="1:32">
      <c r="A29" s="249"/>
      <c r="B29" s="249"/>
      <c r="C29" s="249"/>
      <c r="D29" s="249"/>
      <c r="E29" s="249"/>
      <c r="F29" s="249"/>
      <c r="G29" s="249"/>
      <c r="AF29" s="244">
        <v>1921405</v>
      </c>
    </row>
    <row r="30" spans="1:32">
      <c r="A30" s="249"/>
      <c r="B30" s="249"/>
      <c r="C30" s="249"/>
      <c r="D30" s="249"/>
      <c r="E30" s="249"/>
      <c r="F30" s="249"/>
      <c r="G30" s="249"/>
    </row>
    <row r="31" spans="1:32">
      <c r="A31" s="249"/>
      <c r="B31" s="249"/>
      <c r="C31" s="249"/>
      <c r="D31" s="249"/>
      <c r="E31" s="249"/>
      <c r="F31" s="249"/>
      <c r="G31" s="249"/>
    </row>
    <row r="32" spans="1:32">
      <c r="A32" s="249"/>
      <c r="B32" s="249"/>
      <c r="C32" s="249"/>
      <c r="D32" s="249"/>
      <c r="E32" s="249"/>
      <c r="F32" s="249"/>
      <c r="G32" s="249"/>
    </row>
    <row r="33" spans="1:7">
      <c r="A33" s="249"/>
      <c r="B33" s="249"/>
      <c r="C33" s="249"/>
      <c r="D33" s="249"/>
      <c r="E33" s="249"/>
      <c r="F33" s="249"/>
      <c r="G33" s="249"/>
    </row>
    <row r="34" spans="1:7">
      <c r="A34" s="249"/>
      <c r="B34" s="249"/>
      <c r="C34" s="249"/>
      <c r="D34" s="249"/>
      <c r="E34" s="249"/>
      <c r="F34" s="249"/>
      <c r="G34" s="249"/>
    </row>
    <row r="35" spans="1:7">
      <c r="A35" s="249"/>
      <c r="B35" s="249"/>
      <c r="C35" s="249"/>
      <c r="D35" s="249"/>
      <c r="E35" s="249"/>
      <c r="F35" s="249"/>
      <c r="G35" s="249"/>
    </row>
    <row r="36" spans="1:7">
      <c r="A36" s="249"/>
      <c r="B36" s="249"/>
      <c r="C36" s="249"/>
      <c r="D36" s="249"/>
      <c r="E36" s="249"/>
      <c r="F36" s="249"/>
      <c r="G36" s="249"/>
    </row>
    <row r="37" spans="1:7">
      <c r="A37" s="249"/>
      <c r="B37" s="249"/>
      <c r="C37" s="249"/>
      <c r="D37" s="249"/>
      <c r="E37" s="249"/>
      <c r="F37" s="249"/>
      <c r="G37" s="249"/>
    </row>
    <row r="38" spans="1:7">
      <c r="A38" s="249"/>
      <c r="B38" s="249"/>
      <c r="C38" s="249"/>
      <c r="D38" s="249"/>
      <c r="E38" s="249"/>
      <c r="F38" s="249"/>
      <c r="G38" s="249"/>
    </row>
    <row r="39" spans="1:7">
      <c r="A39" s="249"/>
      <c r="B39" s="249"/>
      <c r="C39" s="249"/>
      <c r="D39" s="249"/>
      <c r="E39" s="249"/>
      <c r="F39" s="249"/>
      <c r="G39" s="249"/>
    </row>
    <row r="40" spans="1:7">
      <c r="A40" s="249"/>
      <c r="B40" s="249"/>
      <c r="C40" s="249"/>
      <c r="D40" s="249"/>
      <c r="E40" s="249"/>
      <c r="F40" s="249"/>
      <c r="G40" s="249"/>
    </row>
    <row r="41" spans="1:7">
      <c r="A41" s="249"/>
      <c r="B41" s="249"/>
      <c r="C41" s="249"/>
      <c r="D41" s="249"/>
      <c r="E41" s="249"/>
      <c r="F41" s="249"/>
      <c r="G41" s="249"/>
    </row>
    <row r="42" spans="1:7">
      <c r="A42" s="249"/>
      <c r="B42" s="249"/>
      <c r="C42" s="249"/>
      <c r="D42" s="249"/>
      <c r="E42" s="249"/>
      <c r="F42" s="249"/>
      <c r="G42" s="249"/>
    </row>
    <row r="43" spans="1:7">
      <c r="A43" s="249"/>
      <c r="B43" s="249"/>
      <c r="C43" s="249"/>
      <c r="D43" s="249"/>
      <c r="E43" s="249"/>
      <c r="F43" s="249"/>
      <c r="G43" s="249"/>
    </row>
    <row r="44" spans="1:7">
      <c r="A44" s="249"/>
      <c r="B44" s="249"/>
      <c r="C44" s="249"/>
      <c r="D44" s="249"/>
      <c r="E44" s="249"/>
      <c r="F44" s="249"/>
      <c r="G44" s="249"/>
    </row>
    <row r="45" spans="1:7">
      <c r="A45" s="249"/>
      <c r="B45" s="249"/>
      <c r="C45" s="249"/>
      <c r="D45" s="249"/>
      <c r="E45" s="249"/>
      <c r="F45" s="249"/>
      <c r="G45" s="249"/>
    </row>
    <row r="46" spans="1:7">
      <c r="A46" s="249"/>
      <c r="B46" s="249"/>
      <c r="C46" s="249"/>
      <c r="D46" s="249"/>
      <c r="E46" s="249"/>
      <c r="F46" s="249"/>
      <c r="G46" s="249"/>
    </row>
    <row r="49" spans="1:32" ht="16.5" customHeight="1">
      <c r="D49" s="252"/>
      <c r="E49" s="252"/>
      <c r="F49" s="252"/>
    </row>
    <row r="50" spans="1:32" ht="16.5" customHeight="1">
      <c r="D50" s="252"/>
      <c r="E50" s="252"/>
      <c r="F50" s="252"/>
    </row>
    <row r="51" spans="1:32" ht="16.5" customHeight="1">
      <c r="D51" s="252"/>
      <c r="E51" s="252"/>
      <c r="F51" s="252"/>
    </row>
    <row r="52" spans="1:32" ht="16.5" customHeight="1">
      <c r="B52" s="642" t="s">
        <v>16</v>
      </c>
      <c r="C52" s="636"/>
      <c r="D52" s="643">
        <f t="shared" ref="D52:D57" si="0">D11</f>
        <v>52994625</v>
      </c>
      <c r="E52" s="637"/>
      <c r="F52" s="644">
        <f t="shared" ref="F52:F57" si="1">+F11</f>
        <v>0.25958441091587531</v>
      </c>
    </row>
    <row r="53" spans="1:32" ht="16.5" customHeight="1">
      <c r="B53" s="642" t="s">
        <v>7</v>
      </c>
      <c r="C53" s="636"/>
      <c r="D53" s="643">
        <f t="shared" si="0"/>
        <v>55810730</v>
      </c>
      <c r="E53" s="638"/>
      <c r="F53" s="644">
        <f t="shared" si="1"/>
        <v>0.27347858263616298</v>
      </c>
    </row>
    <row r="54" spans="1:32" ht="16.5" customHeight="1">
      <c r="B54" s="642" t="s">
        <v>11</v>
      </c>
      <c r="C54" s="636"/>
      <c r="D54" s="643">
        <f t="shared" si="0"/>
        <v>2912740</v>
      </c>
      <c r="E54" s="638"/>
      <c r="F54" s="644">
        <f t="shared" si="1"/>
        <v>1.4267520471200742E-2</v>
      </c>
    </row>
    <row r="55" spans="1:32" ht="16.5" customHeight="1">
      <c r="B55" s="642" t="s">
        <v>2</v>
      </c>
      <c r="C55" s="636"/>
      <c r="D55" s="643">
        <f t="shared" si="0"/>
        <v>68095878</v>
      </c>
      <c r="E55" s="638"/>
      <c r="F55" s="644">
        <f t="shared" si="1"/>
        <v>0.33355511764503121</v>
      </c>
    </row>
    <row r="56" spans="1:32" ht="16.5" customHeight="1">
      <c r="B56" s="642" t="s">
        <v>1</v>
      </c>
      <c r="C56" s="636"/>
      <c r="D56" s="643">
        <f t="shared" si="0"/>
        <v>9794475</v>
      </c>
      <c r="E56" s="638"/>
      <c r="F56" s="644">
        <f t="shared" si="1"/>
        <v>4.7976432008062474E-2</v>
      </c>
    </row>
    <row r="57" spans="1:32">
      <c r="A57" s="258"/>
      <c r="B57" s="642" t="s">
        <v>135</v>
      </c>
      <c r="C57" s="636"/>
      <c r="D57" s="643">
        <f t="shared" si="0"/>
        <v>14543353</v>
      </c>
      <c r="E57" s="638"/>
      <c r="F57" s="644">
        <f t="shared" si="1"/>
        <v>7.1037936323667297E-2</v>
      </c>
      <c r="G57" s="258"/>
    </row>
    <row r="58" spans="1:32">
      <c r="B58" s="642"/>
      <c r="C58" s="636"/>
      <c r="D58" s="639"/>
      <c r="E58" s="638"/>
      <c r="F58" s="644"/>
    </row>
    <row r="59" spans="1:32">
      <c r="B59" s="645" t="s">
        <v>6</v>
      </c>
      <c r="C59" s="640"/>
      <c r="D59" s="646">
        <f>SUM(D52:D57)</f>
        <v>204151801</v>
      </c>
      <c r="E59" s="641"/>
      <c r="F59" s="647">
        <f>SUM(F52:F57)</f>
        <v>0.99990000000000001</v>
      </c>
    </row>
    <row r="60" spans="1:32">
      <c r="B60" s="642"/>
      <c r="C60" s="642"/>
      <c r="D60" s="648"/>
      <c r="E60" s="648"/>
      <c r="F60" s="642"/>
    </row>
    <row r="61" spans="1:32">
      <c r="B61" s="642"/>
      <c r="C61" s="642"/>
      <c r="D61" s="642"/>
      <c r="E61" s="642"/>
      <c r="F61" s="642"/>
      <c r="AF61" s="244">
        <v>1724018</v>
      </c>
    </row>
    <row r="62" spans="1:32">
      <c r="AF62" s="244">
        <v>102516</v>
      </c>
    </row>
    <row r="63" spans="1:32">
      <c r="AF63" s="244">
        <v>167548</v>
      </c>
    </row>
    <row r="64" spans="1:32">
      <c r="D64" s="266"/>
      <c r="E64" s="258"/>
      <c r="F64" s="246"/>
    </row>
    <row r="65" spans="4:32">
      <c r="D65" s="266"/>
      <c r="E65" s="258"/>
      <c r="F65" s="246"/>
      <c r="G65" s="267"/>
      <c r="AF65" s="244">
        <v>600000</v>
      </c>
    </row>
    <row r="66" spans="4:32">
      <c r="D66" s="268"/>
      <c r="F66" s="246"/>
    </row>
    <row r="67" spans="4:32">
      <c r="D67" s="268"/>
      <c r="F67" s="246"/>
      <c r="AF67" s="244">
        <v>83146</v>
      </c>
    </row>
    <row r="68" spans="4:32">
      <c r="D68" s="268"/>
      <c r="F68" s="246"/>
    </row>
    <row r="69" spans="4:32">
      <c r="D69" s="268"/>
      <c r="F69" s="246"/>
    </row>
    <row r="70" spans="4:32">
      <c r="D70" s="258"/>
      <c r="E70" s="258"/>
    </row>
    <row r="80" spans="4:32">
      <c r="D80" s="258"/>
      <c r="E80" s="258"/>
    </row>
    <row r="82" spans="1:8">
      <c r="A82" s="252"/>
      <c r="B82" s="252"/>
      <c r="C82" s="252"/>
      <c r="D82" s="252"/>
      <c r="E82" s="252"/>
      <c r="F82" s="252"/>
      <c r="G82" s="252"/>
      <c r="H82" s="252"/>
    </row>
    <row r="83" spans="1:8">
      <c r="A83" s="252"/>
      <c r="B83" s="252"/>
      <c r="C83" s="252"/>
      <c r="D83" s="252"/>
      <c r="E83" s="252"/>
      <c r="F83" s="252"/>
      <c r="G83" s="252"/>
      <c r="H83" s="252"/>
    </row>
    <row r="84" spans="1:8">
      <c r="A84" s="252"/>
      <c r="B84" s="252"/>
      <c r="C84" s="252"/>
      <c r="D84" s="269"/>
      <c r="E84" s="269"/>
      <c r="F84" s="270"/>
      <c r="G84" s="252"/>
      <c r="H84" s="252"/>
    </row>
    <row r="85" spans="1:8">
      <c r="A85" s="252"/>
      <c r="B85" s="252"/>
      <c r="C85" s="252"/>
      <c r="D85" s="269"/>
      <c r="E85" s="269"/>
      <c r="F85" s="270"/>
      <c r="G85" s="252"/>
      <c r="H85" s="252"/>
    </row>
    <row r="86" spans="1:8">
      <c r="A86" s="252"/>
      <c r="B86" s="252"/>
      <c r="C86" s="252"/>
      <c r="D86" s="269"/>
      <c r="E86" s="269"/>
      <c r="F86" s="270"/>
      <c r="G86" s="252"/>
      <c r="H86" s="252"/>
    </row>
    <row r="87" spans="1:8">
      <c r="A87" s="252"/>
      <c r="B87" s="252"/>
      <c r="C87" s="252"/>
      <c r="D87" s="269"/>
      <c r="E87" s="269"/>
      <c r="F87" s="270"/>
      <c r="G87" s="252"/>
      <c r="H87" s="252"/>
    </row>
    <row r="88" spans="1:8">
      <c r="A88" s="252"/>
      <c r="B88" s="252"/>
      <c r="C88" s="252"/>
      <c r="D88" s="269"/>
      <c r="E88" s="269"/>
      <c r="F88" s="270"/>
      <c r="G88" s="252"/>
      <c r="H88" s="252"/>
    </row>
    <row r="89" spans="1:8">
      <c r="A89" s="252"/>
      <c r="B89" s="252"/>
      <c r="C89" s="252"/>
      <c r="D89" s="269"/>
      <c r="E89" s="269"/>
      <c r="F89" s="270"/>
      <c r="G89" s="252"/>
      <c r="H89" s="252"/>
    </row>
    <row r="90" spans="1:8">
      <c r="A90" s="252"/>
      <c r="B90" s="252"/>
      <c r="C90" s="252"/>
      <c r="D90" s="269"/>
      <c r="E90" s="269"/>
      <c r="F90" s="252"/>
      <c r="G90" s="252"/>
      <c r="H90" s="252"/>
    </row>
    <row r="91" spans="1:8">
      <c r="A91" s="252"/>
      <c r="B91" s="252"/>
      <c r="C91" s="252"/>
      <c r="D91" s="269"/>
      <c r="E91" s="269"/>
      <c r="F91" s="270"/>
      <c r="G91" s="252"/>
      <c r="H91" s="252"/>
    </row>
    <row r="92" spans="1:8">
      <c r="A92" s="252"/>
      <c r="B92" s="252"/>
      <c r="C92" s="252"/>
      <c r="D92" s="252"/>
      <c r="E92" s="252"/>
      <c r="F92" s="252"/>
      <c r="G92" s="252"/>
      <c r="H92" s="252"/>
    </row>
    <row r="93" spans="1:8">
      <c r="A93" s="252"/>
      <c r="B93" s="252"/>
      <c r="C93" s="252"/>
      <c r="D93" s="252"/>
      <c r="E93" s="252"/>
      <c r="F93" s="252"/>
      <c r="G93" s="252"/>
      <c r="H93" s="252"/>
    </row>
    <row r="94" spans="1:8">
      <c r="A94" s="252"/>
      <c r="B94" s="252"/>
      <c r="C94" s="252"/>
      <c r="D94" s="252"/>
      <c r="E94" s="252"/>
      <c r="F94" s="252"/>
      <c r="G94" s="252"/>
      <c r="H94" s="252"/>
    </row>
    <row r="95" spans="1:8">
      <c r="A95" s="252"/>
      <c r="B95" s="252"/>
      <c r="C95" s="252"/>
      <c r="D95" s="252"/>
      <c r="E95" s="252"/>
      <c r="F95" s="252"/>
      <c r="G95" s="252"/>
      <c r="H95" s="252"/>
    </row>
    <row r="96" spans="1:8">
      <c r="A96" s="252"/>
      <c r="B96" s="252"/>
      <c r="C96" s="252"/>
      <c r="D96" s="252"/>
      <c r="E96" s="252"/>
      <c r="F96" s="252"/>
      <c r="G96" s="252"/>
      <c r="H96" s="252"/>
    </row>
    <row r="97" spans="1:8">
      <c r="A97" s="252"/>
      <c r="B97" s="252"/>
      <c r="C97" s="252"/>
      <c r="D97" s="252"/>
      <c r="E97" s="252"/>
      <c r="F97" s="252"/>
      <c r="G97" s="252"/>
      <c r="H97" s="252"/>
    </row>
    <row r="98" spans="1:8">
      <c r="A98" s="252"/>
      <c r="B98" s="252"/>
      <c r="C98" s="252"/>
      <c r="D98" s="252"/>
      <c r="E98" s="252"/>
      <c r="F98" s="252"/>
      <c r="G98" s="252"/>
      <c r="H98" s="252"/>
    </row>
    <row r="99" spans="1:8">
      <c r="A99" s="252"/>
      <c r="B99" s="252"/>
      <c r="C99" s="252"/>
      <c r="D99" s="252"/>
      <c r="E99" s="252"/>
      <c r="F99" s="252"/>
      <c r="G99" s="252"/>
      <c r="H99" s="252"/>
    </row>
    <row r="100" spans="1:8">
      <c r="A100" s="252"/>
      <c r="B100" s="252"/>
      <c r="C100" s="252"/>
      <c r="D100" s="252"/>
      <c r="E100" s="252"/>
      <c r="F100" s="252"/>
      <c r="G100" s="252"/>
      <c r="H100" s="252"/>
    </row>
    <row r="101" spans="1:8">
      <c r="A101" s="252"/>
      <c r="B101" s="252"/>
      <c r="C101" s="252"/>
      <c r="D101" s="252"/>
      <c r="E101" s="252"/>
      <c r="F101" s="252"/>
      <c r="G101" s="252"/>
      <c r="H101" s="252"/>
    </row>
    <row r="102" spans="1:8">
      <c r="A102" s="252"/>
      <c r="B102" s="244" t="s">
        <v>136</v>
      </c>
      <c r="C102" s="252"/>
      <c r="D102" s="252"/>
      <c r="E102" s="252"/>
      <c r="F102" s="252"/>
      <c r="G102" s="252"/>
      <c r="H102" s="252"/>
    </row>
    <row r="103" spans="1:8">
      <c r="A103" s="252"/>
      <c r="B103" s="252"/>
      <c r="C103" s="252"/>
      <c r="D103" s="252"/>
      <c r="E103" s="252"/>
      <c r="F103" s="252"/>
      <c r="G103" s="252"/>
      <c r="H103" s="252"/>
    </row>
    <row r="129" hidden="1"/>
    <row r="176" spans="32:32">
      <c r="AF176" s="244">
        <v>97696</v>
      </c>
    </row>
    <row r="178" spans="2:2">
      <c r="B178" s="244" t="s">
        <v>137</v>
      </c>
    </row>
  </sheetData>
  <mergeCells count="4">
    <mergeCell ref="B1:F1"/>
    <mergeCell ref="B2:F2"/>
    <mergeCell ref="B3:F3"/>
    <mergeCell ref="B5:F5"/>
  </mergeCells>
  <phoneticPr fontId="0" type="noConversion"/>
  <pageMargins left="0.3" right="0.3" top="0.5" bottom="0.5" header="0.5" footer="0.5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F177"/>
  <sheetViews>
    <sheetView showOutlineSymbols="0" view="pageBreakPreview" zoomScale="80" zoomScaleNormal="75" zoomScaleSheetLayoutView="80" workbookViewId="0">
      <selection activeCell="E7" sqref="E7"/>
    </sheetView>
  </sheetViews>
  <sheetFormatPr defaultColWidth="9.6640625" defaultRowHeight="19.5"/>
  <cols>
    <col min="1" max="1" width="26.77734375" style="286" customWidth="1"/>
    <col min="2" max="2" width="2" style="288" customWidth="1"/>
    <col min="3" max="3" width="20.77734375" style="286" customWidth="1"/>
    <col min="4" max="4" width="2" style="288" customWidth="1"/>
    <col min="5" max="5" width="20.77734375" style="286" customWidth="1"/>
    <col min="6" max="6" width="27" style="286" customWidth="1"/>
    <col min="7" max="7" width="2" style="286" customWidth="1"/>
    <col min="8" max="8" width="20.77734375" style="286" customWidth="1"/>
    <col min="9" max="9" width="2" style="286" customWidth="1"/>
    <col min="10" max="11" width="20.77734375" style="286" customWidth="1"/>
    <col min="12" max="12" width="24.21875" style="286" customWidth="1"/>
    <col min="13" max="13" width="14.77734375" style="286" customWidth="1"/>
    <col min="14" max="14" width="19.88671875" style="286" customWidth="1"/>
    <col min="15" max="15" width="22.21875" style="286" customWidth="1"/>
    <col min="16" max="16" width="12.21875" style="286" customWidth="1"/>
    <col min="17" max="31" width="9.6640625" style="286"/>
    <col min="32" max="32" width="9.88671875" style="286" bestFit="1" customWidth="1"/>
    <col min="33" max="16384" width="9.6640625" style="286"/>
  </cols>
  <sheetData>
    <row r="1" spans="1:32" s="280" customFormat="1" ht="42.75">
      <c r="A1" s="277" t="s">
        <v>65</v>
      </c>
      <c r="B1" s="278"/>
      <c r="C1" s="279"/>
      <c r="D1" s="278"/>
      <c r="E1" s="279"/>
      <c r="F1" s="279"/>
      <c r="G1" s="279"/>
      <c r="H1" s="279"/>
      <c r="I1" s="279"/>
      <c r="J1" s="279"/>
    </row>
    <row r="2" spans="1:32" s="280" customFormat="1" ht="37.5">
      <c r="A2" s="281" t="s">
        <v>8</v>
      </c>
      <c r="B2" s="278"/>
      <c r="C2" s="279"/>
      <c r="D2" s="278"/>
      <c r="E2" s="279"/>
      <c r="F2" s="279"/>
      <c r="G2" s="279"/>
      <c r="H2" s="279"/>
      <c r="I2" s="279"/>
      <c r="J2" s="279"/>
    </row>
    <row r="3" spans="1:32" s="280" customFormat="1" ht="32.450000000000003" customHeight="1">
      <c r="A3" s="282" t="s">
        <v>9</v>
      </c>
      <c r="B3" s="278"/>
      <c r="C3" s="279"/>
      <c r="D3" s="278"/>
      <c r="E3" s="279"/>
      <c r="F3" s="279"/>
      <c r="G3" s="279"/>
      <c r="H3" s="279"/>
      <c r="I3" s="279"/>
      <c r="J3" s="279"/>
    </row>
    <row r="4" spans="1:32" s="280" customFormat="1">
      <c r="A4" s="279"/>
      <c r="B4" s="278"/>
      <c r="C4" s="279"/>
      <c r="D4" s="278"/>
      <c r="E4" s="279"/>
      <c r="F4" s="279"/>
      <c r="G4" s="279"/>
      <c r="H4" s="279"/>
      <c r="I4" s="279"/>
      <c r="J4" s="279"/>
    </row>
    <row r="5" spans="1:32" s="280" customFormat="1" ht="28.5" customHeight="1">
      <c r="A5" s="283" t="s">
        <v>151</v>
      </c>
      <c r="B5" s="278"/>
      <c r="C5" s="279"/>
      <c r="D5" s="278"/>
      <c r="E5" s="279"/>
      <c r="F5" s="279"/>
      <c r="G5" s="279"/>
      <c r="H5" s="279"/>
      <c r="I5" s="279"/>
      <c r="J5" s="279"/>
    </row>
    <row r="6" spans="1:32">
      <c r="A6" s="284"/>
      <c r="B6" s="285"/>
      <c r="C6" s="284"/>
      <c r="D6" s="285"/>
      <c r="E6" s="284"/>
      <c r="F6" s="284"/>
      <c r="G6" s="284"/>
      <c r="H6" s="284"/>
      <c r="I6" s="284"/>
      <c r="J6" s="284"/>
    </row>
    <row r="7" spans="1:32">
      <c r="A7" s="284"/>
      <c r="B7" s="285"/>
      <c r="C7" s="284"/>
      <c r="D7" s="285"/>
      <c r="E7" s="284"/>
      <c r="F7" s="284"/>
      <c r="G7" s="284"/>
      <c r="H7" s="284"/>
      <c r="I7" s="284"/>
      <c r="J7" s="284"/>
    </row>
    <row r="8" spans="1:32">
      <c r="A8" s="284"/>
      <c r="B8" s="285"/>
      <c r="C8" s="284"/>
      <c r="D8" s="285"/>
      <c r="E8" s="284"/>
      <c r="F8" s="284"/>
      <c r="G8" s="284"/>
      <c r="H8" s="284"/>
      <c r="I8" s="284"/>
      <c r="J8" s="284"/>
    </row>
    <row r="9" spans="1:32">
      <c r="B9" s="287"/>
      <c r="G9" s="284"/>
      <c r="H9" s="284"/>
      <c r="I9" s="284"/>
    </row>
    <row r="10" spans="1:32">
      <c r="A10" s="290"/>
      <c r="B10" s="291"/>
    </row>
    <row r="11" spans="1:32">
      <c r="F11" s="289" t="s">
        <v>146</v>
      </c>
    </row>
    <row r="12" spans="1:32">
      <c r="I12" s="292"/>
    </row>
    <row r="13" spans="1:32">
      <c r="F13" s="292"/>
      <c r="G13" s="288"/>
      <c r="H13" s="293"/>
      <c r="I13" s="294"/>
      <c r="J13" s="292"/>
      <c r="AF13" s="286">
        <v>38583036</v>
      </c>
    </row>
    <row r="14" spans="1:32" ht="39.75" customHeight="1" thickBot="1">
      <c r="F14" s="318" t="s">
        <v>17</v>
      </c>
      <c r="G14" s="287"/>
      <c r="H14" s="319" t="s">
        <v>152</v>
      </c>
      <c r="I14" s="295"/>
      <c r="J14" s="318" t="s">
        <v>74</v>
      </c>
    </row>
    <row r="15" spans="1:32">
      <c r="F15" s="296"/>
      <c r="G15" s="296"/>
      <c r="H15" s="297"/>
      <c r="I15" s="297"/>
      <c r="J15" s="298"/>
    </row>
    <row r="16" spans="1:32">
      <c r="F16" s="320" t="s">
        <v>16</v>
      </c>
      <c r="G16" s="288"/>
      <c r="H16" s="321">
        <v>40139033</v>
      </c>
      <c r="I16" s="299"/>
      <c r="J16" s="323">
        <v>0.20059111136984356</v>
      </c>
      <c r="K16" s="300"/>
    </row>
    <row r="17" spans="6:32">
      <c r="F17" s="320" t="s">
        <v>7</v>
      </c>
      <c r="G17" s="288"/>
      <c r="H17" s="322">
        <v>33444043</v>
      </c>
      <c r="I17" s="301"/>
      <c r="J17" s="323">
        <v>0.16713351699506157</v>
      </c>
      <c r="K17" s="300"/>
    </row>
    <row r="18" spans="6:32">
      <c r="F18" s="320" t="s">
        <v>11</v>
      </c>
      <c r="G18" s="288"/>
      <c r="H18" s="322">
        <v>26617493</v>
      </c>
      <c r="I18" s="301"/>
      <c r="J18" s="323">
        <v>0.13301846366724956</v>
      </c>
      <c r="K18" s="300"/>
    </row>
    <row r="19" spans="6:32">
      <c r="F19" s="320" t="s">
        <v>2</v>
      </c>
      <c r="G19" s="288"/>
      <c r="H19" s="322">
        <v>65888360</v>
      </c>
      <c r="I19" s="301"/>
      <c r="J19" s="323">
        <v>0.32927099561009221</v>
      </c>
      <c r="K19" s="300"/>
    </row>
    <row r="20" spans="6:32">
      <c r="F20" s="320" t="s">
        <v>1</v>
      </c>
      <c r="G20" s="288"/>
      <c r="H20" s="322">
        <v>7939699</v>
      </c>
      <c r="I20" s="301"/>
      <c r="J20" s="323">
        <v>3.9677912677966998E-2</v>
      </c>
      <c r="K20" s="300"/>
    </row>
    <row r="21" spans="6:32">
      <c r="F21" s="320" t="s">
        <v>144</v>
      </c>
      <c r="G21" s="288"/>
      <c r="H21" s="322">
        <v>7507655</v>
      </c>
      <c r="I21" s="301"/>
      <c r="J21" s="323">
        <v>3.7518812678705112E-2</v>
      </c>
      <c r="K21" s="300"/>
    </row>
    <row r="22" spans="6:32">
      <c r="F22" s="320" t="s">
        <v>135</v>
      </c>
      <c r="G22" s="288"/>
      <c r="H22" s="322">
        <v>18567464</v>
      </c>
      <c r="I22" s="301"/>
      <c r="J22" s="323">
        <v>9.2789187001080992E-2</v>
      </c>
    </row>
    <row r="23" spans="6:32" ht="20.25" thickBot="1">
      <c r="F23" s="292"/>
      <c r="G23" s="288"/>
      <c r="H23" s="301"/>
      <c r="I23" s="301"/>
      <c r="J23" s="302"/>
    </row>
    <row r="24" spans="6:32" ht="20.25" thickBot="1">
      <c r="F24" s="303" t="s">
        <v>6</v>
      </c>
      <c r="G24" s="291"/>
      <c r="H24" s="304">
        <v>200103747</v>
      </c>
      <c r="I24" s="305"/>
      <c r="J24" s="306">
        <v>1.0000000000000002</v>
      </c>
    </row>
    <row r="25" spans="6:32" ht="20.25" thickTop="1"/>
    <row r="26" spans="6:32">
      <c r="G26" s="292"/>
      <c r="I26" s="292"/>
    </row>
    <row r="27" spans="6:32">
      <c r="I27" s="292"/>
    </row>
    <row r="28" spans="6:32">
      <c r="AF28" s="286">
        <v>467199</v>
      </c>
    </row>
    <row r="31" spans="6:32">
      <c r="AF31" s="286">
        <v>1921405</v>
      </c>
    </row>
    <row r="32" spans="6:32">
      <c r="G32" s="284"/>
      <c r="H32" s="284"/>
      <c r="I32" s="284"/>
    </row>
    <row r="34" spans="1:12">
      <c r="A34" s="289" t="s">
        <v>153</v>
      </c>
    </row>
    <row r="36" spans="1:12">
      <c r="C36" s="307"/>
      <c r="D36" s="294"/>
    </row>
    <row r="37" spans="1:12" ht="39.75" customHeight="1" thickBot="1">
      <c r="A37" s="318" t="s">
        <v>17</v>
      </c>
      <c r="B37" s="287"/>
      <c r="C37" s="318" t="s">
        <v>154</v>
      </c>
      <c r="D37" s="287"/>
      <c r="E37" s="318" t="s">
        <v>74</v>
      </c>
    </row>
    <row r="38" spans="1:12">
      <c r="A38" s="296"/>
      <c r="B38" s="296"/>
      <c r="C38" s="308"/>
      <c r="D38" s="308"/>
      <c r="E38" s="298"/>
    </row>
    <row r="39" spans="1:12">
      <c r="A39" s="320" t="s">
        <v>16</v>
      </c>
      <c r="C39" s="321">
        <v>52994625</v>
      </c>
      <c r="D39" s="299"/>
      <c r="E39" s="323">
        <v>0.25958441091587531</v>
      </c>
    </row>
    <row r="40" spans="1:12">
      <c r="A40" s="320" t="s">
        <v>7</v>
      </c>
      <c r="C40" s="322">
        <v>55810730</v>
      </c>
      <c r="D40" s="301"/>
      <c r="E40" s="323">
        <v>0.27347858263616298</v>
      </c>
    </row>
    <row r="41" spans="1:12">
      <c r="A41" s="320" t="s">
        <v>11</v>
      </c>
      <c r="C41" s="322">
        <v>2912740</v>
      </c>
      <c r="D41" s="301"/>
      <c r="E41" s="323">
        <v>1.4267520471200742E-2</v>
      </c>
    </row>
    <row r="42" spans="1:12">
      <c r="A42" s="320" t="s">
        <v>2</v>
      </c>
      <c r="C42" s="322">
        <v>68095878</v>
      </c>
      <c r="D42" s="301"/>
      <c r="E42" s="323">
        <v>0.33355511764503121</v>
      </c>
    </row>
    <row r="43" spans="1:12">
      <c r="A43" s="320" t="s">
        <v>1</v>
      </c>
      <c r="C43" s="322">
        <v>9794475</v>
      </c>
      <c r="D43" s="301"/>
      <c r="E43" s="323">
        <v>4.7976432008062474E-2</v>
      </c>
    </row>
    <row r="44" spans="1:12">
      <c r="A44" s="320" t="s">
        <v>135</v>
      </c>
      <c r="C44" s="322">
        <v>14543353</v>
      </c>
      <c r="D44" s="301"/>
      <c r="E44" s="323">
        <v>7.1037936323667297E-2</v>
      </c>
      <c r="K44" s="309"/>
      <c r="L44" s="309"/>
    </row>
    <row r="45" spans="1:12" ht="20.25" thickBot="1">
      <c r="A45" s="292"/>
      <c r="C45" s="301"/>
      <c r="D45" s="301"/>
      <c r="E45" s="310"/>
      <c r="K45" s="311"/>
      <c r="L45" s="311"/>
    </row>
    <row r="46" spans="1:12" ht="20.25" thickBot="1">
      <c r="A46" s="312" t="s">
        <v>6</v>
      </c>
      <c r="B46" s="291"/>
      <c r="C46" s="313">
        <v>204151801</v>
      </c>
      <c r="D46" s="305"/>
      <c r="E46" s="314">
        <v>1</v>
      </c>
      <c r="K46" s="255"/>
      <c r="L46" s="255"/>
    </row>
    <row r="47" spans="1:12" ht="20.25" thickTop="1"/>
    <row r="48" spans="1:12">
      <c r="C48" s="292"/>
      <c r="E48" s="292"/>
      <c r="F48" s="292"/>
      <c r="G48" s="292"/>
      <c r="H48" s="292"/>
      <c r="I48" s="292"/>
      <c r="J48" s="292"/>
    </row>
    <row r="49" spans="1:32" ht="18.75" customHeight="1">
      <c r="C49" s="292"/>
      <c r="E49" s="292"/>
      <c r="F49" s="292"/>
      <c r="G49" s="292"/>
      <c r="H49" s="292"/>
      <c r="I49" s="292"/>
      <c r="J49" s="292"/>
    </row>
    <row r="50" spans="1:32" ht="18.75" customHeight="1">
      <c r="C50" s="292"/>
      <c r="E50" s="292"/>
      <c r="F50" s="292"/>
      <c r="G50" s="292"/>
      <c r="H50" s="292"/>
      <c r="I50" s="292"/>
      <c r="J50" s="292"/>
    </row>
    <row r="51" spans="1:32" ht="18.75" customHeight="1">
      <c r="C51" s="292"/>
      <c r="E51" s="292"/>
      <c r="F51" s="292"/>
      <c r="G51" s="292"/>
      <c r="H51" s="292"/>
      <c r="I51" s="292"/>
      <c r="J51" s="292"/>
    </row>
    <row r="52" spans="1:32" ht="18.75" customHeight="1">
      <c r="C52" s="292"/>
      <c r="E52" s="292"/>
      <c r="F52" s="292"/>
      <c r="G52" s="292"/>
      <c r="H52" s="292"/>
      <c r="I52" s="292"/>
      <c r="J52" s="292"/>
    </row>
    <row r="53" spans="1:32" ht="18.75" customHeight="1">
      <c r="C53" s="292"/>
      <c r="E53" s="292"/>
      <c r="F53" s="292"/>
      <c r="G53" s="292"/>
      <c r="H53" s="292"/>
      <c r="I53" s="292"/>
      <c r="J53" s="292"/>
    </row>
    <row r="54" spans="1:32" ht="18.75" customHeight="1">
      <c r="C54" s="292"/>
      <c r="E54" s="292"/>
      <c r="F54" s="292"/>
      <c r="G54" s="292"/>
      <c r="H54" s="292"/>
      <c r="I54" s="292"/>
      <c r="J54" s="292"/>
    </row>
    <row r="55" spans="1:32" ht="18.75" customHeight="1">
      <c r="C55" s="292"/>
      <c r="E55" s="292"/>
      <c r="F55" s="292"/>
      <c r="G55" s="292"/>
      <c r="H55" s="292"/>
      <c r="I55" s="292"/>
      <c r="J55" s="292"/>
    </row>
    <row r="56" spans="1:32" ht="16.5" customHeight="1">
      <c r="C56" s="292"/>
      <c r="E56" s="292"/>
      <c r="F56" s="292"/>
      <c r="G56" s="292"/>
      <c r="H56" s="292"/>
      <c r="I56" s="292"/>
      <c r="J56" s="292"/>
      <c r="M56" s="292"/>
      <c r="N56" s="292"/>
    </row>
    <row r="57" spans="1:32" ht="16.5" customHeight="1">
      <c r="F57" s="292"/>
      <c r="G57" s="292"/>
      <c r="H57" s="292"/>
      <c r="I57" s="292"/>
      <c r="M57" s="292"/>
      <c r="N57" s="292"/>
    </row>
    <row r="58" spans="1:32" ht="16.5" customHeight="1">
      <c r="F58" s="315"/>
      <c r="G58" s="315"/>
      <c r="H58" s="292"/>
      <c r="I58" s="292"/>
      <c r="M58" s="292"/>
      <c r="N58" s="292"/>
    </row>
    <row r="59" spans="1:32" ht="16.5" customHeight="1">
      <c r="C59" s="631"/>
      <c r="D59" s="622"/>
      <c r="E59" s="631"/>
      <c r="F59" s="631"/>
      <c r="G59" s="631"/>
      <c r="H59" s="631"/>
      <c r="I59" s="631"/>
      <c r="J59" s="626"/>
      <c r="M59" s="292"/>
      <c r="N59" s="292"/>
    </row>
    <row r="60" spans="1:32" ht="16.5" customHeight="1">
      <c r="C60" s="624" t="s">
        <v>17</v>
      </c>
      <c r="D60" s="623"/>
      <c r="E60" s="624"/>
      <c r="F60" s="632" t="str">
        <f>H14</f>
        <v xml:space="preserve">FY '23 Budget  
(As Amended)                           </v>
      </c>
      <c r="G60" s="632"/>
      <c r="H60" s="624" t="s">
        <v>74</v>
      </c>
      <c r="I60" s="624"/>
      <c r="J60" s="626"/>
      <c r="M60" s="292"/>
      <c r="N60" s="292"/>
    </row>
    <row r="61" spans="1:32">
      <c r="C61" s="626" t="s">
        <v>16</v>
      </c>
      <c r="D61" s="625"/>
      <c r="E61" s="626"/>
      <c r="F61" s="627">
        <f t="shared" ref="F61:F67" si="0">+H16</f>
        <v>40139033</v>
      </c>
      <c r="G61" s="627"/>
      <c r="H61" s="630">
        <f>F61/F68</f>
        <v>0.20059111136984356</v>
      </c>
      <c r="I61" s="628"/>
      <c r="J61" s="633">
        <f>ROUND(H61,4)</f>
        <v>0.2006</v>
      </c>
    </row>
    <row r="62" spans="1:32">
      <c r="A62" s="309"/>
      <c r="B62" s="308"/>
      <c r="C62" s="626" t="s">
        <v>7</v>
      </c>
      <c r="D62" s="625"/>
      <c r="E62" s="626"/>
      <c r="F62" s="627">
        <f t="shared" si="0"/>
        <v>33444043</v>
      </c>
      <c r="G62" s="629"/>
      <c r="H62" s="630">
        <f>F62/F68</f>
        <v>0.16713351699506157</v>
      </c>
      <c r="I62" s="630"/>
      <c r="J62" s="633">
        <f t="shared" ref="J62:J67" si="1">ROUND(H62,4)</f>
        <v>0.1671</v>
      </c>
      <c r="AF62" s="286">
        <v>1724018</v>
      </c>
    </row>
    <row r="63" spans="1:32">
      <c r="C63" s="626" t="s">
        <v>11</v>
      </c>
      <c r="D63" s="625"/>
      <c r="E63" s="626"/>
      <c r="F63" s="627">
        <f t="shared" si="0"/>
        <v>26617493</v>
      </c>
      <c r="G63" s="629"/>
      <c r="H63" s="630">
        <f>F63/F68</f>
        <v>0.13301846366724956</v>
      </c>
      <c r="I63" s="630"/>
      <c r="J63" s="633">
        <f t="shared" si="1"/>
        <v>0.13300000000000001</v>
      </c>
      <c r="AF63" s="286">
        <v>102516</v>
      </c>
    </row>
    <row r="64" spans="1:32">
      <c r="C64" s="626" t="s">
        <v>2</v>
      </c>
      <c r="D64" s="625"/>
      <c r="E64" s="626"/>
      <c r="F64" s="627">
        <f t="shared" si="0"/>
        <v>65888360</v>
      </c>
      <c r="G64" s="629"/>
      <c r="H64" s="630">
        <f>F64/F68</f>
        <v>0.32927099561009221</v>
      </c>
      <c r="I64" s="630"/>
      <c r="J64" s="633">
        <f>ROUND(H64,4)</f>
        <v>0.32929999999999998</v>
      </c>
    </row>
    <row r="65" spans="3:32">
      <c r="C65" s="626" t="s">
        <v>1</v>
      </c>
      <c r="D65" s="625"/>
      <c r="E65" s="626"/>
      <c r="F65" s="627">
        <f t="shared" si="0"/>
        <v>7939699</v>
      </c>
      <c r="G65" s="629"/>
      <c r="H65" s="630">
        <f>F65/F68</f>
        <v>3.9677912677966998E-2</v>
      </c>
      <c r="I65" s="630"/>
      <c r="J65" s="633">
        <f>ROUND(H65,4)</f>
        <v>3.9699999999999999E-2</v>
      </c>
    </row>
    <row r="66" spans="3:32">
      <c r="C66" s="626" t="s">
        <v>144</v>
      </c>
      <c r="D66" s="626"/>
      <c r="E66" s="626"/>
      <c r="F66" s="627">
        <f t="shared" si="0"/>
        <v>7507655</v>
      </c>
      <c r="G66" s="626"/>
      <c r="H66" s="630">
        <f>F66/F68</f>
        <v>3.7518812678705112E-2</v>
      </c>
      <c r="I66" s="626"/>
      <c r="J66" s="633">
        <f>ROUND(H66,4)</f>
        <v>3.7499999999999999E-2</v>
      </c>
      <c r="AF66" s="286">
        <v>167548</v>
      </c>
    </row>
    <row r="67" spans="3:32">
      <c r="C67" s="626" t="s">
        <v>135</v>
      </c>
      <c r="D67" s="625"/>
      <c r="E67" s="626"/>
      <c r="F67" s="627">
        <f t="shared" si="0"/>
        <v>18567464</v>
      </c>
      <c r="G67" s="629"/>
      <c r="H67" s="630">
        <f>(F67/F68)</f>
        <v>9.2789187001080992E-2</v>
      </c>
      <c r="I67" s="630"/>
      <c r="J67" s="633">
        <f t="shared" si="1"/>
        <v>9.2799999999999994E-2</v>
      </c>
    </row>
    <row r="68" spans="3:32">
      <c r="C68" s="626" t="s">
        <v>6</v>
      </c>
      <c r="D68" s="625"/>
      <c r="E68" s="626"/>
      <c r="F68" s="627">
        <f>SUM(F61:F67)</f>
        <v>200103747</v>
      </c>
      <c r="G68" s="627"/>
      <c r="H68" s="630">
        <f>SUM(H61:H67)+0.0001</f>
        <v>1.0001000000000002</v>
      </c>
      <c r="I68" s="630"/>
      <c r="J68" s="634">
        <f>SUM(J61:J67)</f>
        <v>1</v>
      </c>
      <c r="AF68" s="286">
        <v>83146</v>
      </c>
    </row>
    <row r="69" spans="3:32">
      <c r="C69" s="626"/>
      <c r="D69" s="625"/>
      <c r="E69" s="626"/>
      <c r="F69" s="626"/>
      <c r="G69" s="626"/>
      <c r="H69" s="626"/>
      <c r="I69" s="626"/>
      <c r="J69" s="626"/>
    </row>
    <row r="70" spans="3:32">
      <c r="C70" s="626"/>
      <c r="D70" s="625"/>
      <c r="E70" s="626"/>
      <c r="F70" s="624"/>
      <c r="G70" s="624"/>
      <c r="H70" s="626"/>
      <c r="I70" s="626"/>
      <c r="J70" s="626"/>
    </row>
    <row r="71" spans="3:32">
      <c r="C71" s="631"/>
      <c r="D71" s="622"/>
      <c r="E71" s="631"/>
      <c r="F71" s="631"/>
      <c r="G71" s="631"/>
      <c r="H71" s="631"/>
      <c r="I71" s="631"/>
      <c r="J71" s="635"/>
    </row>
    <row r="72" spans="3:32">
      <c r="C72" s="624" t="s">
        <v>17</v>
      </c>
      <c r="D72" s="623"/>
      <c r="E72" s="624"/>
      <c r="F72" s="624" t="str">
        <f>C37</f>
        <v>FY '24 Budget</v>
      </c>
      <c r="G72" s="624"/>
      <c r="H72" s="624" t="s">
        <v>74</v>
      </c>
      <c r="I72" s="624"/>
      <c r="J72" s="626"/>
    </row>
    <row r="73" spans="3:32">
      <c r="C73" s="626" t="s">
        <v>16</v>
      </c>
      <c r="D73" s="625"/>
      <c r="E73" s="626"/>
      <c r="F73" s="627">
        <f t="shared" ref="F73:F78" si="2">C39</f>
        <v>52994625</v>
      </c>
      <c r="G73" s="627"/>
      <c r="H73" s="630">
        <f>F73/$F$79</f>
        <v>0.25958441091587531</v>
      </c>
      <c r="I73" s="630"/>
      <c r="J73" s="633">
        <f t="shared" ref="J73:J78" si="3">ROUND(H73,4)</f>
        <v>0.2596</v>
      </c>
    </row>
    <row r="74" spans="3:32">
      <c r="C74" s="626" t="s">
        <v>7</v>
      </c>
      <c r="D74" s="625"/>
      <c r="E74" s="626"/>
      <c r="F74" s="627">
        <f t="shared" si="2"/>
        <v>55810730</v>
      </c>
      <c r="G74" s="627"/>
      <c r="H74" s="630">
        <f>F74/$F$79+0.0001</f>
        <v>0.27347858263616298</v>
      </c>
      <c r="I74" s="630"/>
      <c r="J74" s="633">
        <f t="shared" si="3"/>
        <v>0.27350000000000002</v>
      </c>
    </row>
    <row r="75" spans="3:32">
      <c r="C75" s="626" t="s">
        <v>11</v>
      </c>
      <c r="D75" s="625"/>
      <c r="E75" s="626"/>
      <c r="F75" s="627">
        <f t="shared" si="2"/>
        <v>2912740</v>
      </c>
      <c r="G75" s="627"/>
      <c r="H75" s="630">
        <f>F75/$F$79</f>
        <v>1.4267520471200742E-2</v>
      </c>
      <c r="I75" s="630"/>
      <c r="J75" s="633">
        <f t="shared" si="3"/>
        <v>1.43E-2</v>
      </c>
    </row>
    <row r="76" spans="3:32">
      <c r="C76" s="626" t="s">
        <v>2</v>
      </c>
      <c r="D76" s="625"/>
      <c r="E76" s="626"/>
      <c r="F76" s="627">
        <f t="shared" si="2"/>
        <v>68095878</v>
      </c>
      <c r="G76" s="627"/>
      <c r="H76" s="630">
        <f>F76/$F$79</f>
        <v>0.33355511764503121</v>
      </c>
      <c r="I76" s="630"/>
      <c r="J76" s="633">
        <f t="shared" si="3"/>
        <v>0.33360000000000001</v>
      </c>
    </row>
    <row r="77" spans="3:32">
      <c r="C77" s="626" t="s">
        <v>1</v>
      </c>
      <c r="D77" s="625"/>
      <c r="E77" s="626"/>
      <c r="F77" s="627">
        <f t="shared" si="2"/>
        <v>9794475</v>
      </c>
      <c r="G77" s="627"/>
      <c r="H77" s="630">
        <f>F77/$F$79</f>
        <v>4.7976432008062474E-2</v>
      </c>
      <c r="I77" s="630"/>
      <c r="J77" s="633">
        <f t="shared" si="3"/>
        <v>4.8000000000000001E-2</v>
      </c>
    </row>
    <row r="78" spans="3:32">
      <c r="C78" s="626" t="s">
        <v>135</v>
      </c>
      <c r="D78" s="625"/>
      <c r="E78" s="626"/>
      <c r="F78" s="627">
        <f t="shared" si="2"/>
        <v>14543353</v>
      </c>
      <c r="G78" s="627"/>
      <c r="H78" s="630">
        <f>(F78/$F$79)-0.0002</f>
        <v>7.1037936323667297E-2</v>
      </c>
      <c r="I78" s="630"/>
      <c r="J78" s="633">
        <f t="shared" si="3"/>
        <v>7.0999999999999994E-2</v>
      </c>
    </row>
    <row r="79" spans="3:32">
      <c r="C79" s="626" t="s">
        <v>6</v>
      </c>
      <c r="D79" s="625"/>
      <c r="E79" s="626"/>
      <c r="F79" s="627">
        <f>SUM(F73:F78)</f>
        <v>204151801</v>
      </c>
      <c r="G79" s="627"/>
      <c r="H79" s="630">
        <f>SUM(H73:H78)</f>
        <v>0.99990000000000001</v>
      </c>
      <c r="I79" s="630"/>
      <c r="J79" s="634">
        <f>SUM(J73:J78)</f>
        <v>1</v>
      </c>
    </row>
    <row r="80" spans="3:32">
      <c r="C80" s="626"/>
      <c r="D80" s="625"/>
      <c r="E80" s="626"/>
      <c r="F80" s="626"/>
      <c r="G80" s="626"/>
      <c r="H80" s="626"/>
      <c r="I80" s="626"/>
      <c r="J80" s="626"/>
    </row>
    <row r="85" spans="1:15">
      <c r="F85" s="309"/>
      <c r="G85" s="309"/>
    </row>
    <row r="88" spans="1:15">
      <c r="A88" s="292"/>
      <c r="C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</row>
    <row r="89" spans="1:15">
      <c r="A89" s="292"/>
      <c r="C89" s="292"/>
      <c r="E89" s="292"/>
      <c r="F89" s="317"/>
      <c r="G89" s="317"/>
      <c r="H89" s="316"/>
      <c r="I89" s="316"/>
      <c r="J89" s="292"/>
      <c r="K89" s="292"/>
      <c r="L89" s="292"/>
      <c r="M89" s="317"/>
      <c r="N89" s="316"/>
      <c r="O89" s="292"/>
    </row>
    <row r="90" spans="1:15">
      <c r="A90" s="292"/>
      <c r="C90" s="292"/>
      <c r="E90" s="292"/>
      <c r="F90" s="317"/>
      <c r="G90" s="317"/>
      <c r="H90" s="316"/>
      <c r="I90" s="316"/>
      <c r="J90" s="292"/>
      <c r="K90" s="292"/>
      <c r="L90" s="292"/>
      <c r="M90" s="317"/>
      <c r="N90" s="316"/>
      <c r="O90" s="292"/>
    </row>
    <row r="91" spans="1:15">
      <c r="A91" s="292"/>
      <c r="C91" s="292"/>
      <c r="E91" s="292"/>
      <c r="F91" s="317"/>
      <c r="G91" s="317"/>
      <c r="H91" s="316"/>
      <c r="I91" s="316"/>
      <c r="J91" s="292"/>
      <c r="K91" s="292"/>
      <c r="L91" s="292"/>
      <c r="M91" s="317"/>
      <c r="N91" s="316"/>
      <c r="O91" s="292"/>
    </row>
    <row r="92" spans="1:15">
      <c r="A92" s="292"/>
      <c r="C92" s="292"/>
      <c r="E92" s="292"/>
      <c r="F92" s="317"/>
      <c r="G92" s="317"/>
      <c r="H92" s="316"/>
      <c r="I92" s="316"/>
      <c r="J92" s="292"/>
      <c r="K92" s="292"/>
      <c r="L92" s="292"/>
      <c r="M92" s="317"/>
      <c r="N92" s="316"/>
      <c r="O92" s="292"/>
    </row>
    <row r="93" spans="1:15">
      <c r="A93" s="292"/>
      <c r="C93" s="292"/>
      <c r="E93" s="292"/>
      <c r="F93" s="317"/>
      <c r="G93" s="317"/>
      <c r="H93" s="316"/>
      <c r="I93" s="316"/>
      <c r="J93" s="292"/>
      <c r="K93" s="292"/>
      <c r="L93" s="292"/>
      <c r="M93" s="317"/>
      <c r="N93" s="316"/>
      <c r="O93" s="292"/>
    </row>
    <row r="94" spans="1:15">
      <c r="A94" s="292"/>
      <c r="C94" s="292"/>
      <c r="E94" s="292"/>
      <c r="F94" s="317"/>
      <c r="G94" s="317"/>
      <c r="H94" s="316"/>
      <c r="I94" s="316"/>
      <c r="J94" s="292"/>
      <c r="K94" s="292"/>
      <c r="L94" s="292"/>
      <c r="M94" s="317"/>
      <c r="N94" s="316"/>
      <c r="O94" s="292"/>
    </row>
    <row r="95" spans="1:15">
      <c r="A95" s="292"/>
      <c r="C95" s="292"/>
      <c r="E95" s="292"/>
      <c r="F95" s="317"/>
      <c r="G95" s="317"/>
      <c r="H95" s="292"/>
      <c r="I95" s="292"/>
      <c r="J95" s="292"/>
      <c r="K95" s="292"/>
      <c r="L95" s="292"/>
      <c r="M95" s="317"/>
      <c r="N95" s="292"/>
      <c r="O95" s="292"/>
    </row>
    <row r="96" spans="1:15">
      <c r="A96" s="292"/>
      <c r="C96" s="292"/>
      <c r="E96" s="292"/>
      <c r="F96" s="317"/>
      <c r="G96" s="317"/>
      <c r="H96" s="316"/>
      <c r="I96" s="316"/>
      <c r="J96" s="292"/>
      <c r="K96" s="292"/>
      <c r="L96" s="292"/>
      <c r="M96" s="317"/>
      <c r="N96" s="316"/>
      <c r="O96" s="292"/>
    </row>
    <row r="97" spans="1:15">
      <c r="A97" s="292"/>
      <c r="C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</row>
    <row r="98" spans="1:15">
      <c r="A98" s="292"/>
      <c r="C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</row>
    <row r="99" spans="1:15">
      <c r="A99" s="292"/>
      <c r="C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</row>
    <row r="100" spans="1:15">
      <c r="A100" s="292"/>
      <c r="C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</row>
    <row r="101" spans="1:15">
      <c r="A101" s="292"/>
      <c r="B101" s="288" t="s">
        <v>136</v>
      </c>
      <c r="C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</row>
    <row r="102" spans="1:15">
      <c r="A102" s="292"/>
      <c r="C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</row>
    <row r="103" spans="1:15">
      <c r="A103" s="292"/>
      <c r="C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</row>
    <row r="104" spans="1:15">
      <c r="A104" s="292"/>
      <c r="C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</row>
    <row r="105" spans="1:15">
      <c r="A105" s="292"/>
      <c r="C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</row>
    <row r="106" spans="1:15">
      <c r="A106" s="292"/>
      <c r="C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</row>
    <row r="107" spans="1:15">
      <c r="A107" s="292"/>
      <c r="C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</row>
    <row r="128" hidden="1"/>
    <row r="175" spans="32:32">
      <c r="AF175" s="286">
        <v>97696</v>
      </c>
    </row>
    <row r="177" spans="2:2">
      <c r="B177" s="288" t="s">
        <v>137</v>
      </c>
    </row>
  </sheetData>
  <phoneticPr fontId="0" type="noConversion"/>
  <printOptions horizontalCentered="1"/>
  <pageMargins left="0.35" right="0.3" top="0.5" bottom="0.5" header="0.5" footer="0.5"/>
  <pageSetup scale="57" orientation="portrait" r:id="rId1"/>
  <headerFooter alignWithMargins="0"/>
  <ignoredErrors>
    <ignoredError sqref="H7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M133"/>
  <sheetViews>
    <sheetView showOutlineSymbols="0" view="pageBreakPreview" zoomScale="90" zoomScaleNormal="100" zoomScaleSheetLayoutView="90" workbookViewId="0">
      <selection activeCell="K29" sqref="K29"/>
    </sheetView>
  </sheetViews>
  <sheetFormatPr defaultColWidth="9.6640625" defaultRowHeight="22.5"/>
  <cols>
    <col min="1" max="1" width="39.77734375" style="324" customWidth="1"/>
    <col min="2" max="2" width="2" style="331" customWidth="1"/>
    <col min="3" max="3" width="17.6640625" style="324" customWidth="1"/>
    <col min="4" max="4" width="2" style="324" customWidth="1"/>
    <col min="5" max="5" width="17.6640625" style="324" customWidth="1"/>
    <col min="6" max="6" width="2" style="324" customWidth="1"/>
    <col min="7" max="7" width="17.6640625" style="324" customWidth="1"/>
    <col min="8" max="8" width="2" style="324" customWidth="1"/>
    <col min="9" max="9" width="17.6640625" style="324" customWidth="1"/>
    <col min="10" max="10" width="2" style="324" customWidth="1"/>
    <col min="11" max="11" width="17.6640625" style="324" customWidth="1"/>
    <col min="12" max="16384" width="9.6640625" style="324"/>
  </cols>
  <sheetData>
    <row r="1" spans="1:11" ht="42">
      <c r="A1" s="653" t="s">
        <v>65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</row>
    <row r="2" spans="1:11" ht="36">
      <c r="A2" s="654" t="s">
        <v>15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</row>
    <row r="3" spans="1:11" ht="32.25">
      <c r="A3" s="655" t="s">
        <v>72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</row>
    <row r="4" spans="1:11" s="327" customFormat="1" ht="27" customHeight="1">
      <c r="A4" s="325"/>
      <c r="B4" s="326"/>
    </row>
    <row r="5" spans="1:11" s="328" customFormat="1" ht="28.5">
      <c r="A5" s="656" t="s">
        <v>148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</row>
    <row r="6" spans="1:11" s="328" customFormat="1" ht="27" customHeight="1">
      <c r="A6" s="325"/>
      <c r="B6" s="326"/>
    </row>
    <row r="7" spans="1:11" s="328" customFormat="1" ht="27" customHeight="1">
      <c r="A7" s="325"/>
      <c r="B7" s="326"/>
    </row>
    <row r="8" spans="1:11" s="328" customFormat="1" ht="27" customHeight="1">
      <c r="A8" s="325"/>
      <c r="B8" s="326"/>
    </row>
    <row r="9" spans="1:11" ht="24.95" customHeight="1">
      <c r="A9" s="329"/>
      <c r="B9" s="332"/>
      <c r="C9" s="332" t="s">
        <v>142</v>
      </c>
      <c r="E9" s="332"/>
      <c r="G9" s="332" t="s">
        <v>145</v>
      </c>
    </row>
    <row r="10" spans="1:11" ht="24.95" customHeight="1">
      <c r="B10" s="330"/>
      <c r="C10" s="334" t="s">
        <v>13</v>
      </c>
      <c r="D10" s="332"/>
      <c r="E10" s="332" t="s">
        <v>142</v>
      </c>
      <c r="F10" s="332"/>
      <c r="G10" s="334" t="s">
        <v>13</v>
      </c>
      <c r="I10" s="332" t="s">
        <v>145</v>
      </c>
      <c r="K10" s="332" t="s">
        <v>149</v>
      </c>
    </row>
    <row r="11" spans="1:11" ht="24.95" customHeight="1" thickBot="1">
      <c r="A11" s="335" t="s">
        <v>10</v>
      </c>
      <c r="B11" s="330"/>
      <c r="C11" s="336" t="s">
        <v>14</v>
      </c>
      <c r="D11" s="332"/>
      <c r="E11" s="336" t="s">
        <v>5</v>
      </c>
      <c r="F11" s="332"/>
      <c r="G11" s="336" t="s">
        <v>14</v>
      </c>
      <c r="I11" s="336" t="s">
        <v>115</v>
      </c>
      <c r="K11" s="336" t="s">
        <v>13</v>
      </c>
    </row>
    <row r="12" spans="1:11" ht="24.95" customHeight="1">
      <c r="A12" s="337"/>
      <c r="B12" s="330"/>
    </row>
    <row r="13" spans="1:11" s="333" customFormat="1" ht="24.95" customHeight="1">
      <c r="A13" s="347" t="s">
        <v>16</v>
      </c>
      <c r="B13" s="338"/>
      <c r="C13" s="348">
        <v>49098912</v>
      </c>
      <c r="D13" s="338"/>
      <c r="E13" s="348">
        <v>48969452</v>
      </c>
      <c r="F13" s="338"/>
      <c r="G13" s="348">
        <v>40139033</v>
      </c>
      <c r="I13" s="348">
        <v>40127475</v>
      </c>
      <c r="K13" s="348">
        <v>52994625</v>
      </c>
    </row>
    <row r="14" spans="1:11" s="333" customFormat="1" ht="24.95" customHeight="1">
      <c r="A14" s="347"/>
      <c r="B14" s="339"/>
      <c r="C14" s="349"/>
      <c r="D14" s="339"/>
      <c r="E14" s="349"/>
      <c r="F14" s="339"/>
      <c r="G14" s="349"/>
      <c r="I14" s="349"/>
      <c r="K14" s="349"/>
    </row>
    <row r="15" spans="1:11" s="333" customFormat="1" ht="24.95" customHeight="1">
      <c r="A15" s="347" t="s">
        <v>7</v>
      </c>
      <c r="B15" s="339"/>
      <c r="C15" s="349">
        <v>33967161</v>
      </c>
      <c r="D15" s="339"/>
      <c r="E15" s="349">
        <v>31415641</v>
      </c>
      <c r="F15" s="339"/>
      <c r="G15" s="349">
        <v>33444043</v>
      </c>
      <c r="I15" s="349">
        <v>32617834</v>
      </c>
      <c r="K15" s="349">
        <v>55810730</v>
      </c>
    </row>
    <row r="16" spans="1:11" s="333" customFormat="1" ht="24.95" customHeight="1">
      <c r="A16" s="347"/>
      <c r="B16" s="339"/>
      <c r="C16" s="349"/>
      <c r="D16" s="339"/>
      <c r="E16" s="349"/>
      <c r="F16" s="339"/>
      <c r="G16" s="349"/>
      <c r="I16" s="349"/>
      <c r="K16" s="349"/>
    </row>
    <row r="17" spans="1:13" s="333" customFormat="1" ht="24.95" customHeight="1">
      <c r="A17" s="347" t="s">
        <v>11</v>
      </c>
      <c r="B17" s="339"/>
      <c r="C17" s="349">
        <v>28686753</v>
      </c>
      <c r="D17" s="339"/>
      <c r="E17" s="349">
        <v>31164112</v>
      </c>
      <c r="F17" s="339"/>
      <c r="G17" s="349">
        <v>26617493</v>
      </c>
      <c r="I17" s="349">
        <v>27179775</v>
      </c>
      <c r="K17" s="349">
        <v>2912740</v>
      </c>
    </row>
    <row r="18" spans="1:13" s="333" customFormat="1" ht="24.95" customHeight="1">
      <c r="A18" s="347"/>
      <c r="B18" s="339"/>
      <c r="C18" s="349"/>
      <c r="D18" s="339"/>
      <c r="E18" s="349"/>
      <c r="F18" s="339"/>
      <c r="G18" s="349"/>
      <c r="I18" s="349"/>
      <c r="K18" s="349"/>
    </row>
    <row r="19" spans="1:13" s="333" customFormat="1" ht="24.95" customHeight="1">
      <c r="A19" s="347" t="s">
        <v>2</v>
      </c>
      <c r="B19" s="339"/>
      <c r="C19" s="349">
        <v>58273025</v>
      </c>
      <c r="D19" s="339"/>
      <c r="E19" s="349">
        <v>64294497</v>
      </c>
      <c r="F19" s="339"/>
      <c r="G19" s="349">
        <v>65888360</v>
      </c>
      <c r="I19" s="349">
        <v>68997165</v>
      </c>
      <c r="K19" s="349">
        <v>68095878</v>
      </c>
    </row>
    <row r="20" spans="1:13" s="333" customFormat="1" ht="24.95" customHeight="1">
      <c r="A20" s="347"/>
      <c r="B20" s="339"/>
      <c r="C20" s="349"/>
      <c r="D20" s="339"/>
      <c r="E20" s="349"/>
      <c r="F20" s="339"/>
      <c r="G20" s="349"/>
      <c r="I20" s="349"/>
      <c r="K20" s="349"/>
    </row>
    <row r="21" spans="1:13" s="333" customFormat="1" ht="24.95" customHeight="1">
      <c r="A21" s="347" t="s">
        <v>1</v>
      </c>
      <c r="B21" s="339"/>
      <c r="C21" s="349">
        <v>6437408</v>
      </c>
      <c r="D21" s="339"/>
      <c r="E21" s="349">
        <v>8994859</v>
      </c>
      <c r="F21" s="339"/>
      <c r="G21" s="349">
        <v>7939699</v>
      </c>
      <c r="I21" s="349">
        <v>21440314</v>
      </c>
      <c r="K21" s="349">
        <v>9794475</v>
      </c>
    </row>
    <row r="22" spans="1:13" s="333" customFormat="1" ht="24.95" customHeight="1">
      <c r="A22" s="347"/>
      <c r="B22" s="339"/>
      <c r="C22" s="349"/>
      <c r="D22" s="339"/>
      <c r="E22" s="349"/>
      <c r="F22" s="339"/>
      <c r="G22" s="349"/>
      <c r="I22" s="349"/>
      <c r="K22" s="349"/>
    </row>
    <row r="23" spans="1:13">
      <c r="A23" s="347" t="s">
        <v>144</v>
      </c>
      <c r="C23" s="350">
        <v>7738146</v>
      </c>
      <c r="E23" s="350">
        <v>7845047</v>
      </c>
      <c r="G23" s="351">
        <v>7507655</v>
      </c>
      <c r="I23" s="351">
        <v>7507655</v>
      </c>
      <c r="K23" s="351">
        <v>0</v>
      </c>
    </row>
    <row r="24" spans="1:13" s="333" customFormat="1" ht="24.95" customHeight="1">
      <c r="A24" s="347"/>
      <c r="B24" s="339"/>
      <c r="C24" s="349"/>
      <c r="D24" s="339"/>
      <c r="E24" s="349"/>
      <c r="F24" s="339"/>
      <c r="G24" s="349"/>
      <c r="I24" s="349"/>
      <c r="K24" s="349"/>
    </row>
    <row r="25" spans="1:13" s="333" customFormat="1" ht="24.95" hidden="1" customHeight="1">
      <c r="A25" s="347" t="s">
        <v>138</v>
      </c>
      <c r="B25" s="339"/>
      <c r="C25" s="349">
        <v>0</v>
      </c>
      <c r="D25" s="339"/>
      <c r="E25" s="349"/>
      <c r="F25" s="339"/>
      <c r="G25" s="349"/>
      <c r="I25" s="349"/>
      <c r="K25" s="349"/>
    </row>
    <row r="26" spans="1:13" s="333" customFormat="1" ht="24.95" hidden="1" customHeight="1">
      <c r="A26" s="347"/>
      <c r="B26" s="339"/>
      <c r="C26" s="349"/>
      <c r="D26" s="339"/>
      <c r="E26" s="349"/>
      <c r="F26" s="339"/>
      <c r="G26" s="349"/>
      <c r="I26" s="349"/>
      <c r="K26" s="349"/>
    </row>
    <row r="27" spans="1:13" s="333" customFormat="1" ht="24.95" customHeight="1">
      <c r="A27" s="347" t="s">
        <v>135</v>
      </c>
      <c r="B27" s="339"/>
      <c r="C27" s="349">
        <v>10032943</v>
      </c>
      <c r="D27" s="339"/>
      <c r="E27" s="349">
        <v>10032943</v>
      </c>
      <c r="F27" s="339"/>
      <c r="G27" s="349">
        <v>18567464</v>
      </c>
      <c r="I27" s="349">
        <v>18567464</v>
      </c>
      <c r="K27" s="349">
        <v>14543353</v>
      </c>
    </row>
    <row r="28" spans="1:13" ht="24.95" customHeight="1" thickBot="1">
      <c r="A28" s="331"/>
      <c r="B28" s="340"/>
    </row>
    <row r="29" spans="1:13" ht="31.5" customHeight="1" thickBot="1">
      <c r="A29" s="341" t="s">
        <v>73</v>
      </c>
      <c r="B29" s="342"/>
      <c r="C29" s="343">
        <f>SUM(C13:C27)</f>
        <v>194234348</v>
      </c>
      <c r="D29" s="344"/>
      <c r="E29" s="343">
        <f>SUM(E13:E27)</f>
        <v>202716551</v>
      </c>
      <c r="F29" s="344"/>
      <c r="G29" s="343">
        <f>SUM(G13:G27)</f>
        <v>200103747</v>
      </c>
      <c r="I29" s="343">
        <f>SUM(I13:I27)</f>
        <v>216437682</v>
      </c>
      <c r="K29" s="343">
        <f>SUM(K13:K27)</f>
        <v>204151801</v>
      </c>
      <c r="M29" s="353"/>
    </row>
    <row r="30" spans="1:13" ht="23.25" thickTop="1">
      <c r="A30" s="331"/>
      <c r="B30" s="340"/>
    </row>
    <row r="31" spans="1:13">
      <c r="A31" s="331"/>
    </row>
    <row r="34" spans="1:1">
      <c r="A34" s="324" t="s">
        <v>116</v>
      </c>
    </row>
    <row r="36" spans="1:1">
      <c r="A36" s="331" t="s">
        <v>89</v>
      </c>
    </row>
    <row r="37" spans="1:1">
      <c r="A37" s="331" t="s">
        <v>90</v>
      </c>
    </row>
    <row r="38" spans="1:1">
      <c r="A38" s="331" t="s">
        <v>91</v>
      </c>
    </row>
    <row r="40" spans="1:1">
      <c r="A40" s="324" t="s">
        <v>113</v>
      </c>
    </row>
    <row r="41" spans="1:1">
      <c r="A41" s="324" t="s">
        <v>114</v>
      </c>
    </row>
    <row r="42" spans="1:1">
      <c r="A42" s="324" t="s">
        <v>117</v>
      </c>
    </row>
    <row r="60" spans="1:2">
      <c r="A60" s="352"/>
    </row>
    <row r="63" spans="1:2">
      <c r="A63" s="352"/>
      <c r="B63" s="345"/>
    </row>
    <row r="64" spans="1:2">
      <c r="B64" s="346"/>
    </row>
    <row r="133" hidden="1"/>
  </sheetData>
  <mergeCells count="4">
    <mergeCell ref="A1:K1"/>
    <mergeCell ref="A2:K2"/>
    <mergeCell ref="A3:K3"/>
    <mergeCell ref="A5:K5"/>
  </mergeCells>
  <phoneticPr fontId="0" type="noConversion"/>
  <printOptions horizontalCentered="1"/>
  <pageMargins left="0.3" right="0.3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B3FC-D10E-4E2E-A70C-CA68280E2CA0}">
  <dimension ref="A1:M59"/>
  <sheetViews>
    <sheetView showOutlineSymbols="0" view="pageBreakPreview" zoomScaleNormal="85" zoomScaleSheetLayoutView="100" workbookViewId="0">
      <selection activeCell="F6" sqref="F6"/>
    </sheetView>
  </sheetViews>
  <sheetFormatPr defaultColWidth="9.6640625" defaultRowHeight="15.75"/>
  <cols>
    <col min="1" max="2" width="20.77734375" style="358" customWidth="1"/>
    <col min="3" max="3" width="2" style="358" customWidth="1"/>
    <col min="4" max="4" width="20.77734375" style="358" customWidth="1"/>
    <col min="5" max="5" width="2" style="358" customWidth="1"/>
    <col min="6" max="7" width="20.77734375" style="358" customWidth="1"/>
    <col min="8" max="8" width="15.109375" style="358" customWidth="1"/>
    <col min="9" max="9" width="12.77734375" style="358" customWidth="1"/>
    <col min="10" max="254" width="9.6640625" style="358" customWidth="1"/>
    <col min="255" max="16384" width="9.6640625" style="358"/>
  </cols>
  <sheetData>
    <row r="1" spans="1:11" ht="29.25">
      <c r="A1" s="354" t="s">
        <v>65</v>
      </c>
      <c r="B1" s="355"/>
      <c r="C1" s="355"/>
      <c r="D1" s="356"/>
      <c r="E1" s="356"/>
      <c r="F1" s="356"/>
      <c r="G1" s="356"/>
      <c r="H1" s="357"/>
    </row>
    <row r="2" spans="1:11" ht="26.25">
      <c r="A2" s="359" t="s">
        <v>8</v>
      </c>
      <c r="B2" s="355"/>
      <c r="C2" s="355"/>
      <c r="D2" s="356"/>
      <c r="E2" s="356"/>
      <c r="F2" s="356"/>
      <c r="G2" s="356"/>
      <c r="H2" s="357"/>
    </row>
    <row r="3" spans="1:11" ht="22.5">
      <c r="A3" s="360" t="s">
        <v>157</v>
      </c>
      <c r="B3" s="355"/>
      <c r="C3" s="355"/>
      <c r="D3" s="356"/>
      <c r="E3" s="356"/>
      <c r="F3" s="356"/>
      <c r="G3" s="356"/>
      <c r="H3" s="357"/>
    </row>
    <row r="4" spans="1:11" ht="22.5">
      <c r="A4" s="360" t="s">
        <v>158</v>
      </c>
      <c r="B4" s="355"/>
      <c r="C4" s="355"/>
      <c r="D4" s="356"/>
      <c r="E4" s="356"/>
      <c r="F4" s="356"/>
      <c r="G4" s="356"/>
      <c r="H4" s="357"/>
    </row>
    <row r="5" spans="1:11" ht="16.5" customHeight="1">
      <c r="A5" s="360"/>
      <c r="B5" s="355"/>
      <c r="C5" s="355"/>
      <c r="D5" s="356"/>
      <c r="E5" s="356"/>
      <c r="F5" s="356"/>
      <c r="G5" s="361"/>
      <c r="H5" s="357"/>
    </row>
    <row r="6" spans="1:11" ht="19.5">
      <c r="A6" s="362" t="s">
        <v>155</v>
      </c>
      <c r="B6" s="355"/>
      <c r="C6" s="355"/>
      <c r="D6" s="356"/>
      <c r="E6" s="356"/>
      <c r="F6" s="356"/>
      <c r="G6" s="361"/>
      <c r="H6" s="357"/>
    </row>
    <row r="7" spans="1:11" ht="16.5" customHeight="1">
      <c r="A7" s="362"/>
      <c r="B7" s="355"/>
      <c r="C7" s="355"/>
      <c r="D7" s="356"/>
      <c r="E7" s="356"/>
      <c r="F7" s="356"/>
      <c r="G7" s="361"/>
      <c r="H7" s="357"/>
    </row>
    <row r="8" spans="1:11" ht="16.5" customHeight="1">
      <c r="A8" s="362"/>
      <c r="B8" s="355"/>
      <c r="C8" s="355"/>
      <c r="D8" s="356"/>
      <c r="E8" s="356"/>
      <c r="F8" s="356"/>
      <c r="G8" s="361"/>
      <c r="H8" s="357"/>
    </row>
    <row r="9" spans="1:11" ht="16.5" customHeight="1">
      <c r="A9" s="362"/>
      <c r="B9" s="355"/>
      <c r="C9" s="355"/>
      <c r="D9" s="356"/>
      <c r="E9" s="356"/>
      <c r="F9" s="356"/>
      <c r="G9" s="361"/>
      <c r="H9" s="357"/>
    </row>
    <row r="10" spans="1:11" ht="30" customHeight="1" thickBot="1">
      <c r="A10" s="355"/>
      <c r="B10" s="363" t="s">
        <v>159</v>
      </c>
      <c r="C10" s="364"/>
      <c r="D10" s="365" t="s">
        <v>154</v>
      </c>
      <c r="E10" s="366"/>
      <c r="F10" s="365" t="s">
        <v>74</v>
      </c>
      <c r="G10" s="355"/>
      <c r="H10" s="355"/>
      <c r="I10" s="355"/>
      <c r="J10" s="355"/>
      <c r="K10" s="355"/>
    </row>
    <row r="11" spans="1:11" ht="17.25">
      <c r="B11" s="367"/>
      <c r="C11" s="367"/>
      <c r="D11" s="368"/>
      <c r="E11" s="368"/>
      <c r="F11" s="369"/>
      <c r="H11" s="355"/>
      <c r="I11" s="355"/>
      <c r="J11" s="355"/>
      <c r="K11" s="355"/>
    </row>
    <row r="12" spans="1:11" ht="19.5" customHeight="1">
      <c r="B12" s="370" t="s">
        <v>160</v>
      </c>
      <c r="C12" s="371"/>
      <c r="D12" s="372">
        <v>87894414</v>
      </c>
      <c r="E12" s="368"/>
      <c r="F12" s="373">
        <v>0.45752175479271201</v>
      </c>
      <c r="H12" s="355"/>
      <c r="I12" s="355"/>
      <c r="J12" s="355"/>
      <c r="K12" s="355"/>
    </row>
    <row r="13" spans="1:11" ht="19.5" customHeight="1">
      <c r="A13" s="355"/>
      <c r="B13" s="370" t="s">
        <v>161</v>
      </c>
      <c r="C13" s="371"/>
      <c r="D13" s="374">
        <v>59839</v>
      </c>
      <c r="E13" s="375"/>
      <c r="F13" s="373">
        <v>3.1141524403406449E-4</v>
      </c>
      <c r="G13" s="376"/>
      <c r="H13" s="355"/>
      <c r="I13" s="355"/>
      <c r="J13" s="355"/>
      <c r="K13" s="355"/>
    </row>
    <row r="14" spans="1:11" ht="19.5" customHeight="1">
      <c r="A14" s="355"/>
      <c r="B14" s="370" t="s">
        <v>162</v>
      </c>
      <c r="C14" s="371"/>
      <c r="D14" s="374">
        <v>21908283</v>
      </c>
      <c r="E14" s="375"/>
      <c r="F14" s="373">
        <v>0.11401549652922587</v>
      </c>
      <c r="G14" s="376"/>
      <c r="H14" s="355"/>
      <c r="I14" s="355"/>
      <c r="J14" s="355"/>
      <c r="K14" s="355"/>
    </row>
    <row r="15" spans="1:11" ht="19.5" customHeight="1">
      <c r="A15" s="355"/>
      <c r="B15" s="370" t="s">
        <v>163</v>
      </c>
      <c r="C15" s="371"/>
      <c r="D15" s="374">
        <v>13073380</v>
      </c>
      <c r="E15" s="375"/>
      <c r="F15" s="373">
        <v>6.8036728940157054E-2</v>
      </c>
      <c r="G15" s="376"/>
      <c r="H15" s="355"/>
      <c r="I15" s="355"/>
      <c r="J15" s="355"/>
      <c r="K15" s="355"/>
    </row>
    <row r="16" spans="1:11" ht="19.5" customHeight="1">
      <c r="A16" s="355"/>
      <c r="B16" s="370" t="s">
        <v>164</v>
      </c>
      <c r="C16" s="371"/>
      <c r="D16" s="374">
        <v>40588474</v>
      </c>
      <c r="E16" s="375"/>
      <c r="F16" s="373">
        <v>0.21123129623958092</v>
      </c>
      <c r="G16" s="376"/>
      <c r="H16" s="355"/>
      <c r="I16" s="355"/>
      <c r="J16" s="355"/>
      <c r="K16" s="355"/>
    </row>
    <row r="17" spans="1:11" ht="19.5" customHeight="1">
      <c r="A17" s="355"/>
      <c r="B17" s="370" t="s">
        <v>165</v>
      </c>
      <c r="C17" s="371"/>
      <c r="D17" s="374">
        <v>28627411</v>
      </c>
      <c r="E17" s="375"/>
      <c r="F17" s="373">
        <v>0.14898330825429004</v>
      </c>
      <c r="H17" s="355"/>
      <c r="I17" s="355"/>
      <c r="J17" s="355"/>
      <c r="K17" s="355"/>
    </row>
    <row r="18" spans="1:11" ht="18" thickBot="1">
      <c r="A18" s="355"/>
      <c r="B18" s="367"/>
      <c r="C18" s="367"/>
      <c r="D18" s="377"/>
      <c r="E18" s="377"/>
      <c r="F18" s="369"/>
      <c r="G18" s="355"/>
      <c r="H18" s="378"/>
      <c r="I18" s="355"/>
      <c r="J18" s="355"/>
      <c r="K18" s="355"/>
    </row>
    <row r="19" spans="1:11" ht="20.25" customHeight="1" thickBot="1">
      <c r="A19" s="355"/>
      <c r="B19" s="379" t="s">
        <v>166</v>
      </c>
      <c r="C19" s="380"/>
      <c r="D19" s="381">
        <v>192151801</v>
      </c>
      <c r="E19" s="382"/>
      <c r="F19" s="383">
        <v>1</v>
      </c>
      <c r="G19" s="384"/>
      <c r="H19" s="385"/>
      <c r="I19" s="355"/>
      <c r="J19" s="355"/>
      <c r="K19" s="355"/>
    </row>
    <row r="20" spans="1:11" ht="18" thickTop="1">
      <c r="A20" s="355"/>
      <c r="B20" s="371"/>
      <c r="C20" s="371"/>
      <c r="D20" s="371"/>
      <c r="E20" s="371"/>
      <c r="F20" s="371"/>
      <c r="G20" s="386"/>
      <c r="H20" s="386"/>
      <c r="I20" s="355"/>
      <c r="J20" s="355"/>
      <c r="K20" s="355"/>
    </row>
    <row r="21" spans="1:11" ht="17.25">
      <c r="A21" s="355"/>
      <c r="B21" s="387"/>
      <c r="C21" s="387"/>
      <c r="D21" s="387"/>
      <c r="E21" s="387"/>
      <c r="F21" s="387"/>
      <c r="G21" s="355"/>
      <c r="H21" s="355"/>
      <c r="I21" s="355"/>
      <c r="J21" s="355"/>
      <c r="K21" s="355"/>
    </row>
    <row r="22" spans="1:11" ht="17.25">
      <c r="B22" s="388"/>
      <c r="C22" s="388"/>
      <c r="D22" s="388"/>
      <c r="E22" s="388"/>
      <c r="F22" s="388"/>
      <c r="H22" s="355"/>
      <c r="I22" s="355"/>
      <c r="J22" s="355"/>
      <c r="K22" s="355"/>
    </row>
    <row r="23" spans="1:11" ht="17.25">
      <c r="B23" s="388"/>
      <c r="C23" s="388"/>
      <c r="D23" s="388"/>
      <c r="E23" s="388"/>
      <c r="F23" s="388"/>
      <c r="H23" s="355"/>
      <c r="I23" s="355"/>
      <c r="J23" s="355"/>
      <c r="K23" s="355"/>
    </row>
    <row r="25" spans="1:11">
      <c r="D25" s="356"/>
      <c r="E25" s="356"/>
      <c r="F25" s="355"/>
      <c r="H25" s="355"/>
      <c r="I25" s="355"/>
      <c r="J25" s="355"/>
      <c r="K25" s="355"/>
    </row>
    <row r="26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</row>
    <row r="27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</row>
    <row r="28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</row>
    <row r="30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355"/>
    </row>
    <row r="32" spans="1:1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3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3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</row>
    <row r="35" spans="1:13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</row>
    <row r="36" spans="1:13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</row>
    <row r="37" spans="1:13">
      <c r="A37" s="355"/>
      <c r="B37" s="355"/>
      <c r="C37" s="355"/>
      <c r="D37" s="355"/>
      <c r="E37" s="355"/>
      <c r="F37" s="355"/>
      <c r="G37" s="355"/>
      <c r="H37" s="355"/>
      <c r="I37" s="355"/>
      <c r="J37" s="355"/>
      <c r="K37" s="355"/>
    </row>
    <row r="38" spans="1:13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</row>
    <row r="39" spans="1:13" ht="20.25" customHeight="1">
      <c r="K39" s="389"/>
      <c r="L39" s="390"/>
      <c r="M39" s="390"/>
    </row>
    <row r="40" spans="1:13" ht="18.75" customHeight="1">
      <c r="K40" s="389"/>
      <c r="L40" s="390"/>
      <c r="M40" s="390"/>
    </row>
    <row r="41" spans="1:13" ht="18.75" customHeight="1">
      <c r="J41" s="391"/>
    </row>
    <row r="42" spans="1:13" ht="18.75" customHeight="1">
      <c r="J42" s="391"/>
      <c r="K42" s="389"/>
    </row>
    <row r="43" spans="1:13" ht="18.75" customHeight="1">
      <c r="J43" s="391"/>
    </row>
    <row r="44" spans="1:13" ht="18.75" customHeight="1">
      <c r="J44" s="391"/>
    </row>
    <row r="45" spans="1:13" ht="18.75" customHeight="1">
      <c r="C45" s="392"/>
      <c r="D45" s="392"/>
      <c r="E45" s="392"/>
      <c r="F45" s="392"/>
      <c r="J45" s="391"/>
    </row>
    <row r="46" spans="1:13" ht="18.75" customHeight="1">
      <c r="B46" s="393"/>
      <c r="C46" s="393"/>
      <c r="D46" s="393"/>
      <c r="E46" s="393"/>
      <c r="F46" s="393"/>
      <c r="J46" s="391"/>
    </row>
    <row r="47" spans="1:13" ht="14.1" customHeight="1">
      <c r="B47" s="393"/>
      <c r="C47" s="393"/>
      <c r="D47" s="393"/>
      <c r="E47" s="393"/>
      <c r="F47" s="393"/>
    </row>
    <row r="48" spans="1:13">
      <c r="D48" s="394"/>
      <c r="E48" s="394"/>
      <c r="F48" s="391"/>
    </row>
    <row r="49" spans="1:6" ht="12" customHeight="1">
      <c r="D49" s="395"/>
      <c r="E49" s="395"/>
    </row>
    <row r="50" spans="1:6" ht="18.75">
      <c r="A50" s="614" t="s">
        <v>159</v>
      </c>
      <c r="B50" s="614"/>
      <c r="C50" s="614"/>
      <c r="D50" s="615" t="str">
        <f>D10</f>
        <v>FY '24 Budget</v>
      </c>
      <c r="E50" s="614"/>
      <c r="F50" s="614" t="s">
        <v>74</v>
      </c>
    </row>
    <row r="51" spans="1:6" ht="18.75">
      <c r="A51" s="614" t="s">
        <v>160</v>
      </c>
      <c r="B51" s="614"/>
      <c r="C51" s="614"/>
      <c r="D51" s="616">
        <f>+'Exp Summary'!W13</f>
        <v>87894414</v>
      </c>
      <c r="E51" s="617"/>
      <c r="F51" s="618">
        <f>+'Exp Summary'!Y13</f>
        <v>0.45752175479271201</v>
      </c>
    </row>
    <row r="52" spans="1:6" ht="18.75">
      <c r="A52" s="614" t="s">
        <v>161</v>
      </c>
      <c r="B52" s="614"/>
      <c r="C52" s="614"/>
      <c r="D52" s="616">
        <f>+'Exp Summary'!W16</f>
        <v>59839</v>
      </c>
      <c r="E52" s="619"/>
      <c r="F52" s="618">
        <f>+'Exp Summary'!Y16</f>
        <v>3.1141524403406449E-4</v>
      </c>
    </row>
    <row r="53" spans="1:6" ht="18.75">
      <c r="A53" s="614" t="s">
        <v>162</v>
      </c>
      <c r="B53" s="614"/>
      <c r="C53" s="614"/>
      <c r="D53" s="616">
        <f>+'Exp Summary'!W18</f>
        <v>21908283</v>
      </c>
      <c r="E53" s="619"/>
      <c r="F53" s="618">
        <f>+'Exp Summary'!Y18</f>
        <v>0.11401549652922587</v>
      </c>
    </row>
    <row r="54" spans="1:6" ht="18.75">
      <c r="A54" s="614" t="s">
        <v>163</v>
      </c>
      <c r="B54" s="614"/>
      <c r="C54" s="614"/>
      <c r="D54" s="616">
        <f>+'Exp Summary'!W20</f>
        <v>13073380</v>
      </c>
      <c r="E54" s="619"/>
      <c r="F54" s="618">
        <f>+'Exp Summary'!Y20</f>
        <v>6.8036728940157054E-2</v>
      </c>
    </row>
    <row r="55" spans="1:6" ht="18.75">
      <c r="A55" s="614" t="s">
        <v>164</v>
      </c>
      <c r="B55" s="614"/>
      <c r="C55" s="614"/>
      <c r="D55" s="616">
        <f>+'Exp Summary'!W22</f>
        <v>40588474</v>
      </c>
      <c r="E55" s="619"/>
      <c r="F55" s="618">
        <f>+'Exp Summary'!Y22</f>
        <v>0.21123129623958092</v>
      </c>
    </row>
    <row r="56" spans="1:6" ht="18.75">
      <c r="A56" s="614" t="s">
        <v>165</v>
      </c>
      <c r="B56" s="614"/>
      <c r="C56" s="614"/>
      <c r="D56" s="616">
        <f>+'Exp Summary'!W24</f>
        <v>28627411</v>
      </c>
      <c r="E56" s="619"/>
      <c r="F56" s="618">
        <f>+'Exp Summary'!Y24</f>
        <v>0.14898330825429004</v>
      </c>
    </row>
    <row r="57" spans="1:6" ht="18.75">
      <c r="A57" s="614" t="s">
        <v>167</v>
      </c>
      <c r="B57" s="614"/>
      <c r="C57" s="614"/>
      <c r="D57" s="617">
        <f>+'Exp Summary'!W26</f>
        <v>192151801</v>
      </c>
      <c r="E57" s="617"/>
      <c r="F57" s="618">
        <f>+'Exp Summary'!Y26</f>
        <v>1</v>
      </c>
    </row>
    <row r="58" spans="1:6">
      <c r="A58" s="620"/>
      <c r="B58" s="620"/>
      <c r="C58" s="620"/>
      <c r="D58" s="620"/>
      <c r="E58" s="620"/>
      <c r="F58" s="620"/>
    </row>
    <row r="59" spans="1:6">
      <c r="A59" s="620"/>
      <c r="B59" s="620"/>
      <c r="C59" s="620"/>
      <c r="D59" s="621"/>
      <c r="E59" s="620"/>
      <c r="F59" s="620"/>
    </row>
  </sheetData>
  <pageMargins left="0.3" right="0.3" top="0.5" bottom="0.5" header="0.5" footer="0.5"/>
  <pageSetup scale="80" orientation="portrait" r:id="rId1"/>
  <headerFooter alignWithMargins="0"/>
  <rowBreaks count="1" manualBreakCount="1">
    <brk id="4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8C0D-98DA-4FE6-81A6-21564A0FBD88}">
  <dimension ref="A1:P76"/>
  <sheetViews>
    <sheetView showOutlineSymbols="0" view="pageBreakPreview" zoomScale="90" zoomScaleSheetLayoutView="90" workbookViewId="0">
      <selection activeCell="E8" sqref="E8"/>
    </sheetView>
  </sheetViews>
  <sheetFormatPr defaultColWidth="9.6640625" defaultRowHeight="19.5"/>
  <cols>
    <col min="1" max="1" width="24.77734375" style="280" customWidth="1"/>
    <col min="2" max="2" width="2" style="280" customWidth="1"/>
    <col min="3" max="3" width="20.77734375" style="280" customWidth="1"/>
    <col min="4" max="4" width="2" style="280" customWidth="1"/>
    <col min="5" max="5" width="20.77734375" style="280" customWidth="1"/>
    <col min="6" max="6" width="25.109375" style="280" customWidth="1"/>
    <col min="7" max="7" width="2" style="280" customWidth="1"/>
    <col min="8" max="8" width="20.77734375" style="280" customWidth="1"/>
    <col min="9" max="9" width="2" style="280" customWidth="1"/>
    <col min="10" max="10" width="20.77734375" style="280" customWidth="1"/>
    <col min="11" max="11" width="15.109375" style="280" customWidth="1"/>
    <col min="12" max="12" width="12.77734375" style="280" customWidth="1"/>
    <col min="13" max="257" width="9.6640625" style="280" customWidth="1"/>
    <col min="258" max="16384" width="9.6640625" style="280"/>
  </cols>
  <sheetData>
    <row r="1" spans="1:14" ht="42">
      <c r="A1" s="397" t="s">
        <v>65</v>
      </c>
      <c r="B1" s="362"/>
      <c r="C1" s="279"/>
      <c r="D1" s="279"/>
      <c r="E1" s="279"/>
      <c r="F1" s="362"/>
      <c r="G1" s="362"/>
      <c r="H1" s="362"/>
      <c r="I1" s="362"/>
      <c r="J1" s="362"/>
      <c r="K1" s="398"/>
    </row>
    <row r="2" spans="1:14" ht="36.6" customHeight="1">
      <c r="A2" s="281" t="s">
        <v>8</v>
      </c>
      <c r="B2" s="362"/>
      <c r="C2" s="279"/>
      <c r="D2" s="279"/>
      <c r="E2" s="279"/>
      <c r="F2" s="362"/>
      <c r="G2" s="362"/>
      <c r="H2" s="362"/>
      <c r="I2" s="362"/>
      <c r="J2" s="362"/>
      <c r="K2" s="398"/>
    </row>
    <row r="3" spans="1:14" ht="30.95" customHeight="1">
      <c r="A3" s="282" t="s">
        <v>157</v>
      </c>
      <c r="B3" s="362"/>
      <c r="C3" s="279"/>
      <c r="D3" s="279"/>
      <c r="E3" s="279"/>
      <c r="F3" s="362"/>
      <c r="G3" s="362"/>
      <c r="H3" s="362"/>
      <c r="I3" s="362"/>
      <c r="J3" s="362"/>
      <c r="K3" s="398"/>
    </row>
    <row r="4" spans="1:14" ht="30.95" customHeight="1">
      <c r="A4" s="282" t="s">
        <v>158</v>
      </c>
      <c r="B4" s="362"/>
      <c r="C4" s="279"/>
      <c r="D4" s="279"/>
      <c r="E4" s="279"/>
      <c r="F4" s="362"/>
      <c r="G4" s="362"/>
      <c r="H4" s="362"/>
      <c r="I4" s="362"/>
      <c r="J4" s="362"/>
      <c r="K4" s="398"/>
    </row>
    <row r="5" spans="1:14" ht="19.5" customHeight="1">
      <c r="C5" s="398"/>
      <c r="D5" s="398"/>
      <c r="E5" s="398"/>
      <c r="F5" s="398"/>
      <c r="G5" s="398"/>
      <c r="H5" s="398"/>
      <c r="I5" s="398"/>
      <c r="J5" s="398"/>
      <c r="K5" s="398"/>
    </row>
    <row r="6" spans="1:14" ht="28.5" customHeight="1">
      <c r="A6" s="399" t="s">
        <v>151</v>
      </c>
      <c r="B6" s="362"/>
      <c r="C6" s="362"/>
      <c r="D6" s="362"/>
      <c r="E6" s="362"/>
      <c r="F6" s="362"/>
      <c r="G6" s="362"/>
      <c r="H6" s="362"/>
      <c r="I6" s="362"/>
      <c r="J6" s="362"/>
      <c r="K6" s="398"/>
    </row>
    <row r="7" spans="1:14" ht="19.5" customHeight="1">
      <c r="A7" s="399"/>
      <c r="B7" s="362"/>
      <c r="C7" s="362"/>
      <c r="D7" s="362"/>
      <c r="E7" s="362"/>
      <c r="F7" s="362"/>
      <c r="G7" s="362"/>
      <c r="H7" s="362"/>
      <c r="I7" s="362"/>
      <c r="J7" s="362"/>
      <c r="K7" s="398"/>
    </row>
    <row r="8" spans="1:14" ht="19.5" customHeight="1">
      <c r="A8" s="399"/>
      <c r="B8" s="362"/>
      <c r="C8" s="362"/>
      <c r="D8" s="362"/>
      <c r="E8" s="362"/>
      <c r="F8" s="362"/>
      <c r="G8" s="362"/>
      <c r="H8" s="362"/>
      <c r="I8" s="362"/>
      <c r="J8" s="362"/>
      <c r="K8" s="398"/>
    </row>
    <row r="9" spans="1:14" ht="19.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14" ht="19.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</row>
    <row r="11" spans="1:14" ht="18.75" customHeight="1">
      <c r="B11" s="398"/>
      <c r="F11" s="400" t="s">
        <v>146</v>
      </c>
    </row>
    <row r="12" spans="1:14" ht="18.75" customHeight="1"/>
    <row r="13" spans="1:14" ht="18.75" customHeight="1">
      <c r="F13" s="401"/>
      <c r="G13" s="401"/>
    </row>
    <row r="14" spans="1:14" ht="18.75" customHeight="1"/>
    <row r="15" spans="1:14" ht="18.75" customHeight="1"/>
    <row r="16" spans="1:14" ht="39.75" customHeight="1" thickBot="1">
      <c r="F16" s="402" t="s">
        <v>159</v>
      </c>
      <c r="G16" s="403"/>
      <c r="H16" s="404" t="s">
        <v>168</v>
      </c>
      <c r="I16" s="405"/>
      <c r="J16" s="402" t="s">
        <v>74</v>
      </c>
    </row>
    <row r="17" spans="6:11" ht="20.100000000000001" customHeight="1">
      <c r="F17" s="406"/>
      <c r="G17" s="406"/>
      <c r="H17" s="407"/>
      <c r="I17" s="407"/>
      <c r="J17" s="408"/>
    </row>
    <row r="18" spans="6:11" ht="20.100000000000001" customHeight="1">
      <c r="F18" s="409" t="s">
        <v>160</v>
      </c>
      <c r="H18" s="410">
        <v>83075562</v>
      </c>
      <c r="I18" s="411"/>
      <c r="J18" s="412">
        <v>0.45126195291532861</v>
      </c>
    </row>
    <row r="19" spans="6:11" ht="20.100000000000001" customHeight="1">
      <c r="F19" s="409" t="s">
        <v>161</v>
      </c>
      <c r="H19" s="413">
        <v>1249161</v>
      </c>
      <c r="I19" s="414"/>
      <c r="J19" s="412">
        <v>6.7853748899786527E-3</v>
      </c>
    </row>
    <row r="20" spans="6:11" ht="20.100000000000001" customHeight="1">
      <c r="F20" s="409" t="s">
        <v>162</v>
      </c>
      <c r="H20" s="413">
        <v>19591485</v>
      </c>
      <c r="I20" s="414"/>
      <c r="J20" s="412">
        <v>0.106419885328147</v>
      </c>
    </row>
    <row r="21" spans="6:11" ht="20.100000000000001" customHeight="1">
      <c r="F21" s="409" t="s">
        <v>163</v>
      </c>
      <c r="H21" s="413">
        <v>11653430</v>
      </c>
      <c r="I21" s="414"/>
      <c r="J21" s="412">
        <v>6.330080054062201E-2</v>
      </c>
    </row>
    <row r="22" spans="6:11" ht="20.100000000000001" customHeight="1">
      <c r="F22" s="409" t="s">
        <v>164</v>
      </c>
      <c r="H22" s="413">
        <v>42123349</v>
      </c>
      <c r="I22" s="414"/>
      <c r="J22" s="412">
        <v>0.22881175011580365</v>
      </c>
    </row>
    <row r="23" spans="6:11" ht="20.100000000000001" customHeight="1">
      <c r="F23" s="409" t="s">
        <v>165</v>
      </c>
      <c r="H23" s="413">
        <v>26403105</v>
      </c>
      <c r="I23" s="414"/>
      <c r="J23" s="412">
        <v>0.14342023621012009</v>
      </c>
    </row>
    <row r="24" spans="6:11" ht="20.100000000000001" customHeight="1" thickBot="1">
      <c r="H24" s="414"/>
      <c r="I24" s="414"/>
      <c r="J24" s="415"/>
    </row>
    <row r="25" spans="6:11" ht="20.100000000000001" customHeight="1" thickBot="1">
      <c r="F25" s="416" t="s">
        <v>167</v>
      </c>
      <c r="G25" s="398"/>
      <c r="H25" s="417">
        <v>184096092</v>
      </c>
      <c r="I25" s="418"/>
      <c r="J25" s="419">
        <v>1</v>
      </c>
      <c r="K25" s="411"/>
    </row>
    <row r="26" spans="6:11" ht="18.75" customHeight="1" thickTop="1"/>
    <row r="27" spans="6:11" ht="18.75" customHeight="1"/>
    <row r="28" spans="6:11" ht="18.75" customHeight="1">
      <c r="H28" s="420"/>
    </row>
    <row r="29" spans="6:11">
      <c r="F29" s="398"/>
      <c r="G29" s="398"/>
    </row>
    <row r="34" spans="1:16">
      <c r="A34" s="400" t="s">
        <v>153</v>
      </c>
      <c r="F34" s="400"/>
    </row>
    <row r="37" spans="1:16" ht="39.75" customHeight="1" thickBot="1">
      <c r="A37" s="402" t="s">
        <v>159</v>
      </c>
      <c r="B37" s="403"/>
      <c r="C37" s="404" t="s">
        <v>154</v>
      </c>
      <c r="D37" s="405"/>
      <c r="E37" s="402" t="s">
        <v>74</v>
      </c>
    </row>
    <row r="38" spans="1:16">
      <c r="A38" s="406"/>
      <c r="B38" s="406"/>
      <c r="C38" s="407"/>
      <c r="D38" s="407"/>
      <c r="E38" s="408"/>
    </row>
    <row r="39" spans="1:16">
      <c r="A39" s="409" t="s">
        <v>160</v>
      </c>
      <c r="C39" s="410">
        <v>87894414</v>
      </c>
      <c r="D39" s="411"/>
      <c r="E39" s="412">
        <v>0.45752175479271201</v>
      </c>
    </row>
    <row r="40" spans="1:16" ht="20.100000000000001" customHeight="1">
      <c r="A40" s="409" t="s">
        <v>161</v>
      </c>
      <c r="C40" s="413">
        <v>59839</v>
      </c>
      <c r="D40" s="414"/>
      <c r="E40" s="412">
        <v>3.1141524403406449E-4</v>
      </c>
    </row>
    <row r="41" spans="1:16" ht="20.100000000000001" customHeight="1">
      <c r="A41" s="409" t="s">
        <v>162</v>
      </c>
      <c r="C41" s="413">
        <v>21908283</v>
      </c>
      <c r="D41" s="414"/>
      <c r="E41" s="412">
        <v>0.11401549652922587</v>
      </c>
    </row>
    <row r="42" spans="1:16" ht="20.100000000000001" customHeight="1">
      <c r="A42" s="409" t="s">
        <v>163</v>
      </c>
      <c r="C42" s="413">
        <v>13073380</v>
      </c>
      <c r="D42" s="414"/>
      <c r="E42" s="412">
        <v>6.8036728940157054E-2</v>
      </c>
    </row>
    <row r="43" spans="1:16" ht="20.100000000000001" customHeight="1">
      <c r="A43" s="409" t="s">
        <v>164</v>
      </c>
      <c r="C43" s="413">
        <v>40588474</v>
      </c>
      <c r="D43" s="414"/>
      <c r="E43" s="412">
        <v>0.21123129623958092</v>
      </c>
    </row>
    <row r="44" spans="1:16" ht="20.100000000000001" customHeight="1">
      <c r="A44" s="409" t="s">
        <v>165</v>
      </c>
      <c r="C44" s="413">
        <v>28627411</v>
      </c>
      <c r="D44" s="414"/>
      <c r="E44" s="412">
        <v>0.14898330825429004</v>
      </c>
    </row>
    <row r="45" spans="1:16" ht="20.100000000000001" customHeight="1" thickBot="1">
      <c r="C45" s="414"/>
      <c r="D45" s="414"/>
      <c r="E45" s="415"/>
    </row>
    <row r="46" spans="1:16" ht="20.100000000000001" customHeight="1" thickBot="1">
      <c r="A46" s="416" t="s">
        <v>167</v>
      </c>
      <c r="B46" s="398"/>
      <c r="C46" s="417">
        <v>192151801</v>
      </c>
      <c r="D46" s="418"/>
      <c r="E46" s="419">
        <v>1</v>
      </c>
      <c r="K46" s="401"/>
      <c r="L46" s="401"/>
    </row>
    <row r="47" spans="1:16" ht="20.100000000000001" customHeight="1" thickTop="1">
      <c r="K47" s="411"/>
      <c r="L47" s="411"/>
    </row>
    <row r="48" spans="1:16" ht="20.100000000000001" customHeight="1">
      <c r="K48" s="415"/>
      <c r="L48" s="415"/>
      <c r="N48" s="421"/>
      <c r="O48" s="422"/>
      <c r="P48" s="422"/>
    </row>
    <row r="49" spans="1:16" ht="18.75" customHeight="1">
      <c r="N49" s="421"/>
      <c r="O49" s="422"/>
      <c r="P49" s="422"/>
    </row>
    <row r="50" spans="1:16" ht="18.75" customHeight="1"/>
    <row r="51" spans="1:16" ht="18.75" customHeight="1">
      <c r="N51" s="421"/>
    </row>
    <row r="52" spans="1:16" ht="18.75" customHeight="1">
      <c r="A52" s="358"/>
      <c r="B52" s="358"/>
      <c r="C52" s="358"/>
      <c r="D52" s="358"/>
      <c r="E52" s="358"/>
    </row>
    <row r="53" spans="1:16" ht="18.75" customHeight="1">
      <c r="A53" s="358"/>
      <c r="B53" s="358"/>
      <c r="C53" s="358"/>
      <c r="D53" s="358"/>
      <c r="E53" s="358"/>
    </row>
    <row r="54" spans="1:16" ht="18.75" customHeight="1">
      <c r="A54" s="358"/>
      <c r="B54" s="358"/>
      <c r="C54" s="358"/>
      <c r="D54" s="358"/>
      <c r="E54" s="358"/>
    </row>
    <row r="55" spans="1:16" ht="18.75" customHeight="1"/>
    <row r="56" spans="1:16" ht="18.75" customHeight="1"/>
    <row r="57" spans="1:16" ht="14.1" customHeight="1"/>
    <row r="58" spans="1:16">
      <c r="C58" s="594"/>
      <c r="D58" s="594"/>
      <c r="E58" s="594"/>
      <c r="F58" s="611"/>
      <c r="G58" s="611"/>
      <c r="H58" s="594"/>
      <c r="I58" s="594"/>
      <c r="J58" s="594"/>
    </row>
    <row r="59" spans="1:16" ht="14.25" customHeight="1">
      <c r="C59" s="594" t="s">
        <v>159</v>
      </c>
      <c r="D59" s="594"/>
      <c r="E59" s="594"/>
      <c r="F59" s="595" t="str">
        <f>H16</f>
        <v>FY '23 Budget 
(As Amended)</v>
      </c>
      <c r="G59" s="595"/>
      <c r="H59" s="596" t="s">
        <v>74</v>
      </c>
      <c r="I59" s="594"/>
      <c r="J59" s="594"/>
    </row>
    <row r="60" spans="1:16">
      <c r="C60" s="594" t="s">
        <v>160</v>
      </c>
      <c r="D60" s="594"/>
      <c r="E60" s="594"/>
      <c r="F60" s="612">
        <f t="shared" ref="F60:F65" si="0">H18</f>
        <v>83075562</v>
      </c>
      <c r="G60" s="612"/>
      <c r="H60" s="600">
        <f>(F60/$F$66)</f>
        <v>0.45126195291532861</v>
      </c>
      <c r="I60" s="600"/>
      <c r="J60" s="600">
        <f>ROUND(H60,4)</f>
        <v>0.45129999999999998</v>
      </c>
    </row>
    <row r="61" spans="1:16">
      <c r="C61" s="594" t="s">
        <v>161</v>
      </c>
      <c r="D61" s="594"/>
      <c r="E61" s="594"/>
      <c r="F61" s="612">
        <f t="shared" si="0"/>
        <v>1249161</v>
      </c>
      <c r="G61" s="599"/>
      <c r="H61" s="600">
        <f t="shared" ref="H61:H64" si="1">F61/$F$66</f>
        <v>6.7853748899786527E-3</v>
      </c>
      <c r="I61" s="600"/>
      <c r="J61" s="600">
        <f t="shared" ref="J61:J64" si="2">ROUND(H61,4)</f>
        <v>6.7999999999999996E-3</v>
      </c>
    </row>
    <row r="62" spans="1:16">
      <c r="C62" s="594" t="s">
        <v>162</v>
      </c>
      <c r="D62" s="594"/>
      <c r="E62" s="594"/>
      <c r="F62" s="612">
        <f t="shared" si="0"/>
        <v>19591485</v>
      </c>
      <c r="G62" s="599"/>
      <c r="H62" s="600">
        <f t="shared" si="1"/>
        <v>0.106419885328147</v>
      </c>
      <c r="I62" s="600"/>
      <c r="J62" s="600">
        <f t="shared" si="2"/>
        <v>0.10639999999999999</v>
      </c>
    </row>
    <row r="63" spans="1:16">
      <c r="C63" s="594" t="s">
        <v>163</v>
      </c>
      <c r="D63" s="594"/>
      <c r="E63" s="594"/>
      <c r="F63" s="612">
        <f t="shared" si="0"/>
        <v>11653430</v>
      </c>
      <c r="G63" s="599"/>
      <c r="H63" s="600">
        <f t="shared" si="1"/>
        <v>6.330080054062201E-2</v>
      </c>
      <c r="I63" s="600"/>
      <c r="J63" s="600">
        <f t="shared" si="2"/>
        <v>6.3299999999999995E-2</v>
      </c>
    </row>
    <row r="64" spans="1:16">
      <c r="C64" s="594" t="s">
        <v>164</v>
      </c>
      <c r="D64" s="594"/>
      <c r="E64" s="594"/>
      <c r="F64" s="612">
        <f t="shared" si="0"/>
        <v>42123349</v>
      </c>
      <c r="G64" s="599"/>
      <c r="H64" s="600">
        <f t="shared" si="1"/>
        <v>0.22881175011580365</v>
      </c>
      <c r="I64" s="600"/>
      <c r="J64" s="600">
        <f t="shared" si="2"/>
        <v>0.2288</v>
      </c>
    </row>
    <row r="65" spans="3:10">
      <c r="C65" s="594" t="s">
        <v>165</v>
      </c>
      <c r="D65" s="594"/>
      <c r="E65" s="594"/>
      <c r="F65" s="612">
        <f t="shared" si="0"/>
        <v>26403105</v>
      </c>
      <c r="G65" s="599"/>
      <c r="H65" s="600">
        <f>(F65/$F$66)</f>
        <v>0.14342023621012009</v>
      </c>
      <c r="I65" s="600"/>
      <c r="J65" s="600">
        <f>ROUND(H65,4)+0.00001</f>
        <v>0.14341000000000001</v>
      </c>
    </row>
    <row r="66" spans="3:10">
      <c r="C66" s="594" t="s">
        <v>167</v>
      </c>
      <c r="D66" s="594"/>
      <c r="E66" s="594"/>
      <c r="F66" s="597">
        <f>SUM(F60:F65)</f>
        <v>184096092</v>
      </c>
      <c r="G66" s="597"/>
      <c r="H66" s="600">
        <f>(SUM(H60:H65))+0.0001</f>
        <v>1.0001</v>
      </c>
      <c r="I66" s="600"/>
      <c r="J66" s="600">
        <f>SUM(J60:J65)</f>
        <v>1.0000100000000001</v>
      </c>
    </row>
    <row r="67" spans="3:10">
      <c r="C67" s="594"/>
      <c r="D67" s="594"/>
      <c r="E67" s="594"/>
      <c r="F67" s="594"/>
      <c r="G67" s="594"/>
      <c r="H67" s="594"/>
      <c r="I67" s="594"/>
      <c r="J67" s="594"/>
    </row>
    <row r="68" spans="3:10">
      <c r="C68" s="594"/>
      <c r="D68" s="594"/>
      <c r="E68" s="594"/>
      <c r="F68" s="594"/>
      <c r="G68" s="594"/>
      <c r="H68" s="594"/>
      <c r="I68" s="594"/>
      <c r="J68" s="594"/>
    </row>
    <row r="69" spans="3:10">
      <c r="C69" s="594" t="s">
        <v>159</v>
      </c>
      <c r="D69" s="594"/>
      <c r="E69" s="594"/>
      <c r="F69" s="596" t="str">
        <f>C37</f>
        <v>FY '24 Budget</v>
      </c>
      <c r="G69" s="596"/>
      <c r="H69" s="596" t="s">
        <v>74</v>
      </c>
      <c r="I69" s="594"/>
      <c r="J69" s="594"/>
    </row>
    <row r="70" spans="3:10">
      <c r="C70" s="594" t="s">
        <v>160</v>
      </c>
      <c r="D70" s="594"/>
      <c r="E70" s="594"/>
      <c r="F70" s="597">
        <f t="shared" ref="F70:F75" si="3">C39</f>
        <v>87894414</v>
      </c>
      <c r="G70" s="597"/>
      <c r="H70" s="600">
        <f t="shared" ref="H70:H75" si="4">E39</f>
        <v>0.45752175479271201</v>
      </c>
      <c r="I70" s="600"/>
      <c r="J70" s="613"/>
    </row>
    <row r="71" spans="3:10">
      <c r="C71" s="594" t="s">
        <v>161</v>
      </c>
      <c r="D71" s="594"/>
      <c r="E71" s="594"/>
      <c r="F71" s="597">
        <f t="shared" si="3"/>
        <v>59839</v>
      </c>
      <c r="G71" s="599"/>
      <c r="H71" s="600">
        <f t="shared" si="4"/>
        <v>3.1141524403406449E-4</v>
      </c>
      <c r="I71" s="600"/>
      <c r="J71" s="613"/>
    </row>
    <row r="72" spans="3:10">
      <c r="C72" s="594" t="s">
        <v>162</v>
      </c>
      <c r="D72" s="594"/>
      <c r="E72" s="594"/>
      <c r="F72" s="597">
        <f t="shared" si="3"/>
        <v>21908283</v>
      </c>
      <c r="G72" s="599"/>
      <c r="H72" s="600">
        <f t="shared" si="4"/>
        <v>0.11401549652922587</v>
      </c>
      <c r="I72" s="600"/>
      <c r="J72" s="613"/>
    </row>
    <row r="73" spans="3:10">
      <c r="C73" s="594" t="s">
        <v>163</v>
      </c>
      <c r="D73" s="594"/>
      <c r="E73" s="594"/>
      <c r="F73" s="597">
        <f t="shared" si="3"/>
        <v>13073380</v>
      </c>
      <c r="G73" s="599"/>
      <c r="H73" s="600">
        <f t="shared" si="4"/>
        <v>6.8036728940157054E-2</v>
      </c>
      <c r="I73" s="600"/>
      <c r="J73" s="613"/>
    </row>
    <row r="74" spans="3:10">
      <c r="C74" s="594" t="s">
        <v>164</v>
      </c>
      <c r="D74" s="594"/>
      <c r="E74" s="594"/>
      <c r="F74" s="597">
        <f t="shared" si="3"/>
        <v>40588474</v>
      </c>
      <c r="G74" s="599"/>
      <c r="H74" s="600">
        <f t="shared" si="4"/>
        <v>0.21123129623958092</v>
      </c>
      <c r="I74" s="600"/>
      <c r="J74" s="613"/>
    </row>
    <row r="75" spans="3:10">
      <c r="C75" s="594" t="s">
        <v>165</v>
      </c>
      <c r="D75" s="594"/>
      <c r="E75" s="594"/>
      <c r="F75" s="597">
        <f t="shared" si="3"/>
        <v>28627411</v>
      </c>
      <c r="G75" s="599"/>
      <c r="H75" s="600">
        <f t="shared" si="4"/>
        <v>0.14898330825429004</v>
      </c>
      <c r="I75" s="600"/>
      <c r="J75" s="613"/>
    </row>
    <row r="76" spans="3:10">
      <c r="C76" s="594" t="s">
        <v>167</v>
      </c>
      <c r="D76" s="594"/>
      <c r="E76" s="594"/>
      <c r="F76" s="597">
        <f>+'Exp Summary'!W26</f>
        <v>192151801</v>
      </c>
      <c r="G76" s="597"/>
      <c r="H76" s="600">
        <f>+'Exp Summary'!Y26</f>
        <v>1</v>
      </c>
      <c r="I76" s="600"/>
      <c r="J76" s="594"/>
    </row>
  </sheetData>
  <printOptions horizontalCentered="1"/>
  <pageMargins left="0.3" right="0.3" top="0.5" bottom="0.5" header="0.5" footer="0.5"/>
  <pageSetup scale="59" orientation="portrait" r:id="rId1"/>
  <headerFooter alignWithMargins="0"/>
  <rowBreaks count="1" manualBreakCount="1">
    <brk id="57" max="16383" man="1"/>
  </rowBreaks>
  <ignoredErrors>
    <ignoredError sqref="F60:F6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F188-4179-442D-8618-C72B0D790A59}">
  <dimension ref="A1:J62"/>
  <sheetViews>
    <sheetView showOutlineSymbols="0" view="pageBreakPreview" zoomScale="90" zoomScaleNormal="100" zoomScaleSheetLayoutView="90" workbookViewId="0">
      <selection activeCell="D8" sqref="D8"/>
    </sheetView>
  </sheetViews>
  <sheetFormatPr defaultColWidth="9.6640625" defaultRowHeight="15.75"/>
  <cols>
    <col min="1" max="1" width="21.5546875" style="358" customWidth="1"/>
    <col min="2" max="2" width="24.109375" style="358" customWidth="1"/>
    <col min="3" max="3" width="2" style="358" customWidth="1"/>
    <col min="4" max="4" width="16.21875" style="358" customWidth="1"/>
    <col min="5" max="5" width="2" style="358" customWidth="1"/>
    <col min="6" max="6" width="21.6640625" style="358" customWidth="1"/>
    <col min="7" max="7" width="20.77734375" style="358" customWidth="1"/>
    <col min="8" max="9" width="9.6640625" style="358" customWidth="1"/>
    <col min="10" max="10" width="11.6640625" style="358" customWidth="1"/>
    <col min="11" max="257" width="9.6640625" style="358" customWidth="1"/>
    <col min="258" max="16384" width="9.6640625" style="358"/>
  </cols>
  <sheetData>
    <row r="1" spans="1:10" ht="29.25">
      <c r="A1" s="354" t="s">
        <v>65</v>
      </c>
      <c r="B1" s="356"/>
      <c r="C1" s="356"/>
      <c r="D1" s="356"/>
      <c r="E1" s="356"/>
      <c r="F1" s="356"/>
      <c r="G1" s="356"/>
      <c r="H1" s="357"/>
    </row>
    <row r="2" spans="1:10" ht="26.25">
      <c r="A2" s="359" t="s">
        <v>15</v>
      </c>
      <c r="B2" s="356"/>
      <c r="C2" s="356"/>
      <c r="D2" s="356"/>
      <c r="E2" s="356"/>
      <c r="F2" s="356"/>
      <c r="G2" s="356"/>
      <c r="H2" s="357"/>
    </row>
    <row r="3" spans="1:10" ht="22.5">
      <c r="A3" s="360" t="s">
        <v>169</v>
      </c>
      <c r="B3" s="356"/>
      <c r="C3" s="356"/>
      <c r="D3" s="356"/>
      <c r="E3" s="356"/>
      <c r="F3" s="356"/>
      <c r="G3" s="356"/>
      <c r="H3" s="357"/>
    </row>
    <row r="4" spans="1:10" ht="22.5">
      <c r="A4" s="360" t="s">
        <v>158</v>
      </c>
      <c r="B4" s="356"/>
      <c r="C4" s="356"/>
      <c r="D4" s="356"/>
      <c r="E4" s="356"/>
      <c r="F4" s="356"/>
      <c r="G4" s="356"/>
      <c r="H4" s="357"/>
    </row>
    <row r="5" spans="1:10" ht="16.5" customHeight="1">
      <c r="A5" s="360"/>
      <c r="B5" s="356"/>
      <c r="C5" s="356"/>
      <c r="D5" s="356"/>
      <c r="E5" s="356"/>
      <c r="F5" s="356"/>
      <c r="G5" s="356"/>
      <c r="H5" s="357"/>
    </row>
    <row r="6" spans="1:10" ht="19.5" customHeight="1">
      <c r="A6" s="362" t="s">
        <v>155</v>
      </c>
      <c r="B6" s="355"/>
      <c r="C6" s="355"/>
      <c r="D6" s="356"/>
      <c r="E6" s="356"/>
      <c r="F6" s="356"/>
      <c r="G6" s="356"/>
      <c r="H6" s="357"/>
    </row>
    <row r="7" spans="1:10" ht="16.5" customHeight="1">
      <c r="A7" s="362"/>
      <c r="B7" s="355"/>
      <c r="C7" s="355"/>
      <c r="D7" s="356"/>
      <c r="E7" s="356"/>
      <c r="F7" s="356"/>
      <c r="G7" s="356"/>
      <c r="H7" s="357"/>
    </row>
    <row r="8" spans="1:10" ht="16.5" customHeight="1">
      <c r="A8" s="362"/>
      <c r="B8" s="355"/>
      <c r="C8" s="355"/>
      <c r="D8" s="356"/>
      <c r="E8" s="356"/>
      <c r="F8" s="356"/>
      <c r="G8" s="356"/>
      <c r="H8" s="357"/>
    </row>
    <row r="9" spans="1:10" ht="16.5" customHeight="1">
      <c r="A9" s="362"/>
      <c r="B9" s="355"/>
      <c r="C9" s="355"/>
      <c r="D9" s="356"/>
      <c r="E9" s="356"/>
      <c r="F9" s="356"/>
      <c r="G9" s="356"/>
      <c r="H9" s="357"/>
    </row>
    <row r="10" spans="1:10" ht="30" customHeight="1" thickBot="1">
      <c r="B10" s="363" t="s">
        <v>170</v>
      </c>
      <c r="C10" s="364"/>
      <c r="D10" s="365" t="s">
        <v>154</v>
      </c>
      <c r="E10" s="366"/>
      <c r="F10" s="365" t="s">
        <v>74</v>
      </c>
    </row>
    <row r="11" spans="1:10" ht="17.25">
      <c r="B11" s="371"/>
      <c r="C11" s="371"/>
      <c r="D11" s="371"/>
      <c r="E11" s="371"/>
      <c r="F11" s="371"/>
    </row>
    <row r="12" spans="1:10" ht="19.5" customHeight="1">
      <c r="B12" s="370" t="s">
        <v>171</v>
      </c>
      <c r="C12" s="371"/>
      <c r="D12" s="372">
        <v>115123059</v>
      </c>
      <c r="E12" s="368"/>
      <c r="F12" s="373">
        <v>0.59912557884378093</v>
      </c>
      <c r="G12" s="423"/>
      <c r="J12" s="424"/>
    </row>
    <row r="13" spans="1:10" ht="19.5" customHeight="1">
      <c r="B13" s="370" t="s">
        <v>172</v>
      </c>
      <c r="C13" s="371"/>
      <c r="D13" s="374">
        <v>26574971</v>
      </c>
      <c r="E13" s="375"/>
      <c r="F13" s="373">
        <v>0.13830196158296743</v>
      </c>
      <c r="G13" s="423"/>
      <c r="J13" s="424"/>
    </row>
    <row r="14" spans="1:10" ht="19.5" customHeight="1">
      <c r="B14" s="370" t="s">
        <v>173</v>
      </c>
      <c r="C14" s="371"/>
      <c r="D14" s="374">
        <v>44815629</v>
      </c>
      <c r="E14" s="375"/>
      <c r="F14" s="373">
        <v>0.23333033542631224</v>
      </c>
      <c r="G14" s="423"/>
      <c r="J14" s="424"/>
    </row>
    <row r="15" spans="1:10" ht="19.5" customHeight="1">
      <c r="B15" s="370" t="s">
        <v>174</v>
      </c>
      <c r="C15" s="371"/>
      <c r="D15" s="374">
        <v>2535102</v>
      </c>
      <c r="E15" s="375"/>
      <c r="F15" s="373">
        <v>1.3193225287542321E-2</v>
      </c>
      <c r="G15" s="423"/>
      <c r="J15" s="424"/>
    </row>
    <row r="16" spans="1:10" ht="19.5" customHeight="1">
      <c r="B16" s="370" t="s">
        <v>175</v>
      </c>
      <c r="C16" s="371"/>
      <c r="D16" s="374">
        <v>3103040</v>
      </c>
      <c r="E16" s="375"/>
      <c r="F16" s="373">
        <v>1.6148898859397107E-2</v>
      </c>
      <c r="G16" s="423"/>
      <c r="J16" s="424"/>
    </row>
    <row r="17" spans="2:8" ht="18" thickBot="1">
      <c r="B17" s="371"/>
      <c r="C17" s="371"/>
      <c r="D17" s="375"/>
      <c r="E17" s="375"/>
      <c r="F17" s="425"/>
      <c r="G17" s="378"/>
      <c r="H17" s="378"/>
    </row>
    <row r="18" spans="2:8" ht="20.25" customHeight="1" thickBot="1">
      <c r="B18" s="426" t="s">
        <v>176</v>
      </c>
      <c r="C18" s="427"/>
      <c r="D18" s="381">
        <v>192151801</v>
      </c>
      <c r="E18" s="382"/>
      <c r="F18" s="383">
        <v>1</v>
      </c>
      <c r="G18" s="428"/>
      <c r="H18" s="428"/>
    </row>
    <row r="19" spans="2:8" ht="16.5" thickTop="1">
      <c r="G19" s="423"/>
      <c r="H19" s="423"/>
    </row>
    <row r="20" spans="2:8" ht="17.25">
      <c r="B20" s="388"/>
      <c r="C20" s="388"/>
      <c r="D20" s="387"/>
      <c r="E20" s="387"/>
      <c r="F20" s="387"/>
    </row>
    <row r="21" spans="2:8" ht="17.25">
      <c r="B21" s="388"/>
      <c r="C21" s="388"/>
      <c r="D21" s="388"/>
      <c r="E21" s="388"/>
      <c r="F21" s="388"/>
    </row>
    <row r="23" spans="2:8">
      <c r="G23" s="424"/>
    </row>
    <row r="24" spans="2:8">
      <c r="G24" s="424"/>
    </row>
    <row r="25" spans="2:8">
      <c r="G25" s="424"/>
    </row>
    <row r="26" spans="2:8">
      <c r="G26" s="424"/>
    </row>
    <row r="27" spans="2:8">
      <c r="G27" s="424"/>
    </row>
    <row r="37" spans="1:8" ht="20.25" customHeight="1"/>
    <row r="38" spans="1:8" ht="18.75" customHeight="1">
      <c r="H38" s="389"/>
    </row>
    <row r="39" spans="1:8" ht="18.75" customHeight="1"/>
    <row r="40" spans="1:8" ht="18.75" customHeight="1"/>
    <row r="41" spans="1:8" ht="18.75" customHeight="1"/>
    <row r="42" spans="1:8" ht="18.75" customHeight="1"/>
    <row r="43" spans="1:8" ht="18.75" customHeight="1"/>
    <row r="44" spans="1:8" ht="18.75" customHeight="1"/>
    <row r="45" spans="1:8" ht="18.75" hidden="1" customHeight="1">
      <c r="A45" s="429"/>
      <c r="B45" s="430" t="s">
        <v>177</v>
      </c>
      <c r="D45" s="431">
        <f>'Exp Summary'!K43</f>
        <v>12000000</v>
      </c>
    </row>
    <row r="46" spans="1:8" hidden="1">
      <c r="A46" s="429"/>
      <c r="B46" s="429"/>
      <c r="D46" s="429"/>
    </row>
    <row r="47" spans="1:8" ht="16.5" hidden="1" thickBot="1">
      <c r="A47" s="657" t="s">
        <v>178</v>
      </c>
      <c r="B47" s="657"/>
      <c r="D47" s="432">
        <f>'Exp Summary'!W46</f>
        <v>204151801</v>
      </c>
    </row>
    <row r="51" spans="2:7">
      <c r="B51" s="601"/>
      <c r="C51" s="601"/>
      <c r="D51" s="602"/>
      <c r="E51" s="602"/>
      <c r="F51" s="601"/>
      <c r="G51" s="601"/>
    </row>
    <row r="52" spans="2:7">
      <c r="B52" s="603" t="s">
        <v>170</v>
      </c>
      <c r="C52" s="603"/>
      <c r="D52" s="604" t="str">
        <f>D10</f>
        <v>FY '24 Budget</v>
      </c>
      <c r="E52" s="604"/>
      <c r="F52" s="603" t="s">
        <v>74</v>
      </c>
      <c r="G52" s="601"/>
    </row>
    <row r="53" spans="2:7">
      <c r="B53" s="603"/>
      <c r="C53" s="603"/>
      <c r="D53" s="603"/>
      <c r="E53" s="603"/>
      <c r="F53" s="603"/>
      <c r="G53" s="601"/>
    </row>
    <row r="54" spans="2:7">
      <c r="B54" s="601" t="s">
        <v>171</v>
      </c>
      <c r="C54" s="601"/>
      <c r="D54" s="605">
        <f>+D12</f>
        <v>115123059</v>
      </c>
      <c r="E54" s="605"/>
      <c r="F54" s="606">
        <f>+F12</f>
        <v>0.59912557884378093</v>
      </c>
      <c r="G54" s="601"/>
    </row>
    <row r="55" spans="2:7">
      <c r="B55" s="601" t="s">
        <v>172</v>
      </c>
      <c r="C55" s="601"/>
      <c r="D55" s="605">
        <f>+D13</f>
        <v>26574971</v>
      </c>
      <c r="E55" s="607"/>
      <c r="F55" s="606">
        <f t="shared" ref="F55:F58" si="0">+F13</f>
        <v>0.13830196158296743</v>
      </c>
      <c r="G55" s="601"/>
    </row>
    <row r="56" spans="2:7">
      <c r="B56" s="601" t="s">
        <v>173</v>
      </c>
      <c r="C56" s="601"/>
      <c r="D56" s="605">
        <f>+D14</f>
        <v>44815629</v>
      </c>
      <c r="E56" s="607"/>
      <c r="F56" s="606">
        <f t="shared" si="0"/>
        <v>0.23333033542631224</v>
      </c>
      <c r="G56" s="601"/>
    </row>
    <row r="57" spans="2:7">
      <c r="B57" s="601" t="s">
        <v>174</v>
      </c>
      <c r="C57" s="601"/>
      <c r="D57" s="605">
        <f>+D15</f>
        <v>2535102</v>
      </c>
      <c r="E57" s="607"/>
      <c r="F57" s="606">
        <f t="shared" si="0"/>
        <v>1.3193225287542321E-2</v>
      </c>
      <c r="G57" s="601"/>
    </row>
    <row r="58" spans="2:7">
      <c r="B58" s="601" t="s">
        <v>175</v>
      </c>
      <c r="C58" s="601"/>
      <c r="D58" s="605">
        <f>+D16</f>
        <v>3103040</v>
      </c>
      <c r="E58" s="607"/>
      <c r="F58" s="606">
        <f t="shared" si="0"/>
        <v>1.6148898859397107E-2</v>
      </c>
      <c r="G58" s="601"/>
    </row>
    <row r="59" spans="2:7">
      <c r="B59" s="601"/>
      <c r="C59" s="601"/>
      <c r="D59" s="607"/>
      <c r="E59" s="607"/>
      <c r="F59" s="606"/>
      <c r="G59" s="601"/>
    </row>
    <row r="60" spans="2:7">
      <c r="B60" s="608" t="s">
        <v>176</v>
      </c>
      <c r="C60" s="608"/>
      <c r="D60" s="609">
        <f>SUM(D54:D58)</f>
        <v>192151801</v>
      </c>
      <c r="E60" s="609"/>
      <c r="F60" s="610">
        <f>SUM(F54:F58)+0.0001</f>
        <v>1.0002</v>
      </c>
      <c r="G60" s="601"/>
    </row>
    <row r="61" spans="2:7">
      <c r="B61" s="601"/>
      <c r="C61" s="601"/>
      <c r="D61" s="601"/>
      <c r="E61" s="601"/>
      <c r="F61" s="601"/>
      <c r="G61" s="601"/>
    </row>
    <row r="62" spans="2:7">
      <c r="B62" s="601"/>
      <c r="C62" s="601"/>
      <c r="D62" s="601"/>
      <c r="E62" s="601"/>
      <c r="F62" s="601"/>
      <c r="G62" s="601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23,259 Students FY 2010 DE</vt:lpstr>
      <vt:lpstr>23,259 Students FY 2010 </vt:lpstr>
      <vt:lpstr>Summary</vt:lpstr>
      <vt:lpstr>Graph</vt:lpstr>
      <vt:lpstr>Graph Compare</vt:lpstr>
      <vt:lpstr>Rev Summ</vt:lpstr>
      <vt:lpstr>Exp by Function</vt:lpstr>
      <vt:lpstr>Comparison-Function</vt:lpstr>
      <vt:lpstr>Exp by Classification</vt:lpstr>
      <vt:lpstr>Comparison-Classfication</vt:lpstr>
      <vt:lpstr>Exp Summary</vt:lpstr>
      <vt:lpstr>Capital</vt:lpstr>
      <vt:lpstr>Auxiliary</vt:lpstr>
      <vt:lpstr>Restricted</vt:lpstr>
      <vt:lpstr>Endowment</vt:lpstr>
      <vt:lpstr>Plant-Regular</vt:lpstr>
      <vt:lpstr>Section 140.0045</vt:lpstr>
      <vt:lpstr>tpeg brkdown</vt:lpstr>
      <vt:lpstr>Methodology</vt:lpstr>
      <vt:lpstr>Rev Summ (2)</vt:lpstr>
      <vt:lpstr>'23,259 Students FY 2010 '!Print_Area</vt:lpstr>
      <vt:lpstr>'23,259 Students FY 2010 DE'!Print_Area</vt:lpstr>
      <vt:lpstr>Auxiliary!Print_Area</vt:lpstr>
      <vt:lpstr>Capital!Print_Area</vt:lpstr>
      <vt:lpstr>'Comparison-Classfication'!Print_Area</vt:lpstr>
      <vt:lpstr>'Comparison-Function'!Print_Area</vt:lpstr>
      <vt:lpstr>Endowment!Print_Area</vt:lpstr>
      <vt:lpstr>'Exp by Classification'!Print_Area</vt:lpstr>
      <vt:lpstr>'Exp by Function'!Print_Area</vt:lpstr>
      <vt:lpstr>'Exp Summary'!Print_Area</vt:lpstr>
      <vt:lpstr>Graph!Print_Area</vt:lpstr>
      <vt:lpstr>'Graph Compare'!Print_Area</vt:lpstr>
      <vt:lpstr>'Plant-Regular'!Print_Area</vt:lpstr>
      <vt:lpstr>Restricted!Print_Area</vt:lpstr>
      <vt:lpstr>'Rev Summ'!Print_Area</vt:lpstr>
      <vt:lpstr>'Rev Summ (2)'!Print_Area</vt:lpstr>
      <vt:lpstr>'Section 140.0045'!Print_Area</vt:lpstr>
      <vt:lpstr>Summary!Print_Area</vt:lpstr>
      <vt:lpstr>Auxiliary!Print_Titles</vt:lpstr>
      <vt:lpstr>Endowment!Print_Titles</vt:lpstr>
      <vt:lpstr>Restricted!Print_Titles</vt:lpstr>
      <vt:lpstr>'Section 140.0045'!Print_Titles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nsanchez</dc:creator>
  <cp:lastModifiedBy>Jose Salinas</cp:lastModifiedBy>
  <cp:lastPrinted>2023-09-18T19:26:38Z</cp:lastPrinted>
  <dcterms:created xsi:type="dcterms:W3CDTF">2003-06-02T17:05:45Z</dcterms:created>
  <dcterms:modified xsi:type="dcterms:W3CDTF">2023-09-18T19:27:37Z</dcterms:modified>
</cp:coreProperties>
</file>